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12315" windowHeight="8460" tabRatio="0"/>
  </bookViews>
  <sheets>
    <sheet name="TDSheet" sheetId="1" r:id="rId1"/>
  </sheets>
  <definedNames>
    <definedName name="_xlnm._FilterDatabase" localSheetId="0" hidden="1">TDSheet!$B$1:$B$359</definedName>
    <definedName name="_xlnm.Print_Area" localSheetId="0">TDSheet!$A$1:$T$358</definedName>
  </definedNames>
  <calcPr calcId="144525"/>
</workbook>
</file>

<file path=xl/calcChain.xml><?xml version="1.0" encoding="utf-8"?>
<calcChain xmlns="http://schemas.openxmlformats.org/spreadsheetml/2006/main">
  <c r="G158" i="1" l="1"/>
  <c r="H158" i="1"/>
  <c r="H159" i="1"/>
  <c r="I158" i="1"/>
  <c r="J158" i="1"/>
  <c r="J177" i="1"/>
  <c r="J179" i="1"/>
  <c r="K158" i="1"/>
  <c r="L158" i="1"/>
  <c r="L159" i="1"/>
  <c r="M158" i="1"/>
  <c r="N158" i="1"/>
  <c r="N159" i="1"/>
  <c r="O158" i="1"/>
  <c r="P158" i="1"/>
  <c r="P159" i="1"/>
  <c r="Q158" i="1"/>
  <c r="R158" i="1"/>
  <c r="R177" i="1"/>
  <c r="R179" i="1"/>
  <c r="S158" i="1"/>
  <c r="T158" i="1"/>
  <c r="T159" i="1"/>
  <c r="F158" i="1"/>
  <c r="F15" i="1"/>
  <c r="R338" i="1"/>
  <c r="M338" i="1"/>
  <c r="F34" i="1"/>
  <c r="F35" i="1"/>
  <c r="H34" i="1"/>
  <c r="H35" i="1"/>
  <c r="J34" i="1"/>
  <c r="K34" i="1"/>
  <c r="K35" i="1"/>
  <c r="L34" i="1"/>
  <c r="L35" i="1"/>
  <c r="N34" i="1"/>
  <c r="O34" i="1"/>
  <c r="O35" i="1"/>
  <c r="P34" i="1"/>
  <c r="R34" i="1"/>
  <c r="S34" i="1"/>
  <c r="S35" i="1"/>
  <c r="T239" i="1"/>
  <c r="R239" i="1"/>
  <c r="Q239" i="1"/>
  <c r="P239" i="1"/>
  <c r="O239" i="1"/>
  <c r="N239" i="1"/>
  <c r="L239" i="1"/>
  <c r="K239" i="1"/>
  <c r="J239" i="1"/>
  <c r="H239" i="1"/>
  <c r="G239" i="1"/>
  <c r="F239" i="1"/>
  <c r="T237" i="1"/>
  <c r="S237" i="1"/>
  <c r="R237" i="1"/>
  <c r="Q237" i="1"/>
  <c r="P237" i="1"/>
  <c r="O237" i="1"/>
  <c r="N237" i="1"/>
  <c r="K237" i="1"/>
  <c r="J237" i="1"/>
  <c r="H237" i="1"/>
  <c r="G237" i="1"/>
  <c r="F237" i="1"/>
  <c r="T235" i="1"/>
  <c r="S235" i="1"/>
  <c r="R235" i="1"/>
  <c r="Q235" i="1"/>
  <c r="P235" i="1"/>
  <c r="O235" i="1"/>
  <c r="N235" i="1"/>
  <c r="M235" i="1"/>
  <c r="L235" i="1"/>
  <c r="K235" i="1"/>
  <c r="J235" i="1"/>
  <c r="H235" i="1"/>
  <c r="G235" i="1"/>
  <c r="F235" i="1"/>
  <c r="R234" i="1"/>
  <c r="T232" i="1"/>
  <c r="S232" i="1"/>
  <c r="R232" i="1"/>
  <c r="Q232" i="1"/>
  <c r="P232" i="1"/>
  <c r="O232" i="1"/>
  <c r="N232" i="1"/>
  <c r="M232" i="1"/>
  <c r="L232" i="1"/>
  <c r="K232" i="1"/>
  <c r="J232" i="1"/>
  <c r="H232" i="1"/>
  <c r="G232" i="1"/>
  <c r="F232" i="1"/>
  <c r="D240" i="1"/>
  <c r="E240" i="1"/>
  <c r="E242" i="1"/>
  <c r="D246" i="1"/>
  <c r="E246" i="1"/>
  <c r="F246" i="1"/>
  <c r="F247" i="1"/>
  <c r="G246" i="1"/>
  <c r="G247" i="1"/>
  <c r="H246" i="1"/>
  <c r="H247" i="1"/>
  <c r="I246" i="1"/>
  <c r="I247" i="1"/>
  <c r="J246" i="1"/>
  <c r="J247" i="1"/>
  <c r="K246" i="1"/>
  <c r="L246" i="1"/>
  <c r="L247" i="1"/>
  <c r="M246" i="1"/>
  <c r="M247" i="1"/>
  <c r="N246" i="1"/>
  <c r="N247" i="1"/>
  <c r="O246" i="1"/>
  <c r="O247" i="1"/>
  <c r="P246" i="1"/>
  <c r="P247" i="1"/>
  <c r="Q246" i="1"/>
  <c r="Q247" i="1"/>
  <c r="R246" i="1"/>
  <c r="R247" i="1"/>
  <c r="S246" i="1"/>
  <c r="S247" i="1"/>
  <c r="T246" i="1"/>
  <c r="T247" i="1"/>
  <c r="K247" i="1"/>
  <c r="T204" i="1"/>
  <c r="R204" i="1"/>
  <c r="Q204" i="1"/>
  <c r="P204" i="1"/>
  <c r="O204" i="1"/>
  <c r="N204" i="1"/>
  <c r="L204" i="1"/>
  <c r="K204" i="1"/>
  <c r="J204" i="1"/>
  <c r="H204" i="1"/>
  <c r="G204" i="1"/>
  <c r="F204" i="1"/>
  <c r="T202" i="1"/>
  <c r="S202" i="1"/>
  <c r="R202" i="1"/>
  <c r="Q202" i="1"/>
  <c r="P202" i="1"/>
  <c r="O202" i="1"/>
  <c r="N202" i="1"/>
  <c r="K202" i="1"/>
  <c r="J202" i="1"/>
  <c r="H202" i="1"/>
  <c r="G202" i="1"/>
  <c r="F202" i="1"/>
  <c r="T200" i="1"/>
  <c r="S200" i="1"/>
  <c r="P200" i="1"/>
  <c r="O200" i="1"/>
  <c r="L200" i="1"/>
  <c r="K200" i="1"/>
  <c r="J200" i="1"/>
  <c r="H200" i="1"/>
  <c r="G200" i="1"/>
  <c r="F200" i="1"/>
  <c r="T199" i="1"/>
  <c r="S199" i="1"/>
  <c r="R199" i="1"/>
  <c r="Q199" i="1"/>
  <c r="P199" i="1"/>
  <c r="O199" i="1"/>
  <c r="N199" i="1"/>
  <c r="L199" i="1"/>
  <c r="K199" i="1"/>
  <c r="J199" i="1"/>
  <c r="H199" i="1"/>
  <c r="G199" i="1"/>
  <c r="F199" i="1"/>
  <c r="T198" i="1"/>
  <c r="S198" i="1"/>
  <c r="R198" i="1"/>
  <c r="Q198" i="1"/>
  <c r="P198" i="1"/>
  <c r="P205" i="1"/>
  <c r="P206" i="1"/>
  <c r="O198" i="1"/>
  <c r="N198" i="1"/>
  <c r="M198" i="1"/>
  <c r="M205" i="1"/>
  <c r="L198" i="1"/>
  <c r="K198" i="1"/>
  <c r="J198" i="1"/>
  <c r="H198" i="1"/>
  <c r="G198" i="1"/>
  <c r="F198" i="1"/>
  <c r="T226" i="1"/>
  <c r="S226" i="1"/>
  <c r="R226" i="1"/>
  <c r="Q226" i="1"/>
  <c r="P226" i="1"/>
  <c r="O226" i="1"/>
  <c r="N226" i="1"/>
  <c r="M226" i="1"/>
  <c r="M228" i="1"/>
  <c r="M229" i="1"/>
  <c r="L226" i="1"/>
  <c r="K226" i="1"/>
  <c r="J226" i="1"/>
  <c r="H226" i="1"/>
  <c r="G226" i="1"/>
  <c r="F226" i="1"/>
  <c r="D15" i="1"/>
  <c r="E349" i="1"/>
  <c r="I349" i="1"/>
  <c r="I350" i="1"/>
  <c r="E314" i="1"/>
  <c r="I314" i="1"/>
  <c r="I315" i="1"/>
  <c r="E278" i="1"/>
  <c r="E211" i="1"/>
  <c r="E175" i="1"/>
  <c r="T175" i="1"/>
  <c r="T176" i="1"/>
  <c r="S175" i="1"/>
  <c r="S176" i="1"/>
  <c r="O175" i="1"/>
  <c r="L175" i="1"/>
  <c r="L176" i="1"/>
  <c r="H175" i="1"/>
  <c r="H176" i="1"/>
  <c r="I104" i="1"/>
  <c r="I105" i="1"/>
  <c r="E138" i="1"/>
  <c r="D138" i="1"/>
  <c r="F138" i="1"/>
  <c r="F139" i="1"/>
  <c r="G138" i="1"/>
  <c r="G139" i="1"/>
  <c r="H138" i="1"/>
  <c r="H139" i="1"/>
  <c r="I138" i="1"/>
  <c r="I139" i="1"/>
  <c r="J138" i="1"/>
  <c r="J139" i="1"/>
  <c r="K138" i="1"/>
  <c r="K139" i="1"/>
  <c r="L138" i="1"/>
  <c r="M138" i="1"/>
  <c r="M139" i="1"/>
  <c r="N138" i="1"/>
  <c r="N139" i="1"/>
  <c r="O138" i="1"/>
  <c r="O139" i="1"/>
  <c r="P138" i="1"/>
  <c r="P139" i="1"/>
  <c r="Q138" i="1"/>
  <c r="Q139" i="1"/>
  <c r="R138" i="1"/>
  <c r="R139" i="1"/>
  <c r="S138" i="1"/>
  <c r="S139" i="1"/>
  <c r="T138" i="1"/>
  <c r="E104" i="1"/>
  <c r="E68" i="1"/>
  <c r="E34" i="1"/>
  <c r="T34" i="1"/>
  <c r="G34" i="1"/>
  <c r="T165" i="1"/>
  <c r="S165" i="1"/>
  <c r="R165" i="1"/>
  <c r="Q165" i="1"/>
  <c r="P165" i="1"/>
  <c r="O165" i="1"/>
  <c r="N165" i="1"/>
  <c r="M165" i="1"/>
  <c r="M169" i="1"/>
  <c r="M170" i="1"/>
  <c r="K165" i="1"/>
  <c r="J165" i="1"/>
  <c r="H165" i="1"/>
  <c r="G165" i="1"/>
  <c r="F165" i="1"/>
  <c r="H162" i="1"/>
  <c r="G162" i="1"/>
  <c r="F162" i="1"/>
  <c r="R303" i="1"/>
  <c r="M303" i="1"/>
  <c r="I337" i="1"/>
  <c r="I305" i="1"/>
  <c r="T55" i="1"/>
  <c r="S55" i="1"/>
  <c r="R55" i="1"/>
  <c r="Q55" i="1"/>
  <c r="P55" i="1"/>
  <c r="O55" i="1"/>
  <c r="N55" i="1"/>
  <c r="M55" i="1"/>
  <c r="M62" i="1"/>
  <c r="L55" i="1"/>
  <c r="K55" i="1"/>
  <c r="J55" i="1"/>
  <c r="H55" i="1"/>
  <c r="G55" i="1"/>
  <c r="F55" i="1"/>
  <c r="T90" i="1"/>
  <c r="S90" i="1"/>
  <c r="R90" i="1"/>
  <c r="Q90" i="1"/>
  <c r="P90" i="1"/>
  <c r="O90" i="1"/>
  <c r="N90" i="1"/>
  <c r="M90" i="1"/>
  <c r="L90" i="1"/>
  <c r="K90" i="1"/>
  <c r="J90" i="1"/>
  <c r="H90" i="1"/>
  <c r="G90" i="1"/>
  <c r="F90" i="1"/>
  <c r="A197" i="1"/>
  <c r="A193" i="1"/>
  <c r="A51" i="1"/>
  <c r="A46" i="1"/>
  <c r="D314" i="1"/>
  <c r="T314" i="1"/>
  <c r="T315" i="1"/>
  <c r="S314" i="1"/>
  <c r="S315" i="1"/>
  <c r="R314" i="1"/>
  <c r="R315" i="1"/>
  <c r="Q314" i="1"/>
  <c r="Q315" i="1"/>
  <c r="P314" i="1"/>
  <c r="P315" i="1"/>
  <c r="O314" i="1"/>
  <c r="O315" i="1"/>
  <c r="N314" i="1"/>
  <c r="N315" i="1"/>
  <c r="M314" i="1"/>
  <c r="M315" i="1"/>
  <c r="L314" i="1"/>
  <c r="L315" i="1"/>
  <c r="K314" i="1"/>
  <c r="K315" i="1"/>
  <c r="J314" i="1"/>
  <c r="J315" i="1"/>
  <c r="H314" i="1"/>
  <c r="H315" i="1"/>
  <c r="G314" i="1"/>
  <c r="G315" i="1"/>
  <c r="F314" i="1"/>
  <c r="F315" i="1"/>
  <c r="E308" i="1"/>
  <c r="E310" i="1"/>
  <c r="D308" i="1"/>
  <c r="T307" i="1"/>
  <c r="R307" i="1"/>
  <c r="Q307" i="1"/>
  <c r="P307" i="1"/>
  <c r="O307" i="1"/>
  <c r="N307" i="1"/>
  <c r="L307" i="1"/>
  <c r="K307" i="1"/>
  <c r="J307" i="1"/>
  <c r="H307" i="1"/>
  <c r="G307" i="1"/>
  <c r="F307" i="1"/>
  <c r="T306" i="1"/>
  <c r="S306" i="1"/>
  <c r="R306" i="1"/>
  <c r="Q306" i="1"/>
  <c r="P306" i="1"/>
  <c r="O306" i="1"/>
  <c r="N306" i="1"/>
  <c r="K306" i="1"/>
  <c r="J306" i="1"/>
  <c r="H306" i="1"/>
  <c r="G306" i="1"/>
  <c r="F306" i="1"/>
  <c r="T302" i="1"/>
  <c r="T308" i="1"/>
  <c r="T309" i="1"/>
  <c r="S302" i="1"/>
  <c r="S308" i="1"/>
  <c r="S309" i="1"/>
  <c r="R302" i="1"/>
  <c r="Q302" i="1"/>
  <c r="P302" i="1"/>
  <c r="O302" i="1"/>
  <c r="N302" i="1"/>
  <c r="M302" i="1"/>
  <c r="L302" i="1"/>
  <c r="L308" i="1"/>
  <c r="K302" i="1"/>
  <c r="J302" i="1"/>
  <c r="J308" i="1"/>
  <c r="J309" i="1"/>
  <c r="H302" i="1"/>
  <c r="G302" i="1"/>
  <c r="G308" i="1"/>
  <c r="F302" i="1"/>
  <c r="E297" i="1"/>
  <c r="E299" i="1"/>
  <c r="D297" i="1"/>
  <c r="T296" i="1"/>
  <c r="R296" i="1"/>
  <c r="Q296" i="1"/>
  <c r="P296" i="1"/>
  <c r="O296" i="1"/>
  <c r="N296" i="1"/>
  <c r="L296" i="1"/>
  <c r="K296" i="1"/>
  <c r="J296" i="1"/>
  <c r="H296" i="1"/>
  <c r="G296" i="1"/>
  <c r="F296" i="1"/>
  <c r="I295" i="1"/>
  <c r="T294" i="1"/>
  <c r="S294" i="1"/>
  <c r="P294" i="1"/>
  <c r="O294" i="1"/>
  <c r="N294" i="1"/>
  <c r="M294" i="1"/>
  <c r="L294" i="1"/>
  <c r="K294" i="1"/>
  <c r="J294" i="1"/>
  <c r="H294" i="1"/>
  <c r="G294" i="1"/>
  <c r="F294" i="1"/>
  <c r="T293" i="1"/>
  <c r="S293" i="1"/>
  <c r="S297" i="1"/>
  <c r="R293" i="1"/>
  <c r="R297" i="1"/>
  <c r="R298" i="1"/>
  <c r="Q293" i="1"/>
  <c r="Q297" i="1"/>
  <c r="P293" i="1"/>
  <c r="P297" i="1"/>
  <c r="O293" i="1"/>
  <c r="N293" i="1"/>
  <c r="M293" i="1"/>
  <c r="L293" i="1"/>
  <c r="K293" i="1"/>
  <c r="J293" i="1"/>
  <c r="H293" i="1"/>
  <c r="G293" i="1"/>
  <c r="F293" i="1"/>
  <c r="I292" i="1"/>
  <c r="T278" i="1"/>
  <c r="T279" i="1"/>
  <c r="R278" i="1"/>
  <c r="R279" i="1"/>
  <c r="D278" i="1"/>
  <c r="S278" i="1"/>
  <c r="S279" i="1"/>
  <c r="Q278" i="1"/>
  <c r="P278" i="1"/>
  <c r="P279" i="1"/>
  <c r="O278" i="1"/>
  <c r="O279" i="1"/>
  <c r="N278" i="1"/>
  <c r="N279" i="1"/>
  <c r="M278" i="1"/>
  <c r="M279" i="1"/>
  <c r="L278" i="1"/>
  <c r="L279" i="1"/>
  <c r="K278" i="1"/>
  <c r="K279" i="1"/>
  <c r="J278" i="1"/>
  <c r="J279" i="1"/>
  <c r="H278" i="1"/>
  <c r="H279" i="1"/>
  <c r="G278" i="1"/>
  <c r="G279" i="1"/>
  <c r="F278" i="1"/>
  <c r="F279" i="1"/>
  <c r="E272" i="1"/>
  <c r="E274" i="1"/>
  <c r="D272" i="1"/>
  <c r="T271" i="1"/>
  <c r="R271" i="1"/>
  <c r="Q271" i="1"/>
  <c r="P271" i="1"/>
  <c r="O271" i="1"/>
  <c r="N271" i="1"/>
  <c r="L271" i="1"/>
  <c r="K271" i="1"/>
  <c r="J271" i="1"/>
  <c r="H271" i="1"/>
  <c r="G271" i="1"/>
  <c r="F271" i="1"/>
  <c r="T270" i="1"/>
  <c r="S270" i="1"/>
  <c r="R270" i="1"/>
  <c r="Q270" i="1"/>
  <c r="P270" i="1"/>
  <c r="O270" i="1"/>
  <c r="N270" i="1"/>
  <c r="K270" i="1"/>
  <c r="J270" i="1"/>
  <c r="H270" i="1"/>
  <c r="G270" i="1"/>
  <c r="F270" i="1"/>
  <c r="T268" i="1"/>
  <c r="S268" i="1"/>
  <c r="R268" i="1"/>
  <c r="Q268" i="1"/>
  <c r="P268" i="1"/>
  <c r="O268" i="1"/>
  <c r="N268" i="1"/>
  <c r="M268" i="1"/>
  <c r="K268" i="1"/>
  <c r="J268" i="1"/>
  <c r="H268" i="1"/>
  <c r="G268" i="1"/>
  <c r="F268" i="1"/>
  <c r="I266" i="1"/>
  <c r="T265" i="1"/>
  <c r="S265" i="1"/>
  <c r="S272" i="1"/>
  <c r="S273" i="1"/>
  <c r="R265" i="1"/>
  <c r="Q265" i="1"/>
  <c r="Q272" i="1"/>
  <c r="P265" i="1"/>
  <c r="P272" i="1"/>
  <c r="P273" i="1"/>
  <c r="O265" i="1"/>
  <c r="N265" i="1"/>
  <c r="M265" i="1"/>
  <c r="L265" i="1"/>
  <c r="L272" i="1"/>
  <c r="L273" i="1"/>
  <c r="K265" i="1"/>
  <c r="K272" i="1"/>
  <c r="K273" i="1"/>
  <c r="J265" i="1"/>
  <c r="G265" i="1"/>
  <c r="F265" i="1"/>
  <c r="E262" i="1"/>
  <c r="D262" i="1"/>
  <c r="T261" i="1"/>
  <c r="T262" i="1"/>
  <c r="R261" i="1"/>
  <c r="Q261" i="1"/>
  <c r="P261" i="1"/>
  <c r="O261" i="1"/>
  <c r="N261" i="1"/>
  <c r="L261" i="1"/>
  <c r="K261" i="1"/>
  <c r="J261" i="1"/>
  <c r="H261" i="1"/>
  <c r="G261" i="1"/>
  <c r="I261" i="1"/>
  <c r="F261" i="1"/>
  <c r="I260" i="1"/>
  <c r="T258" i="1"/>
  <c r="S258" i="1"/>
  <c r="S262" i="1"/>
  <c r="S263" i="1"/>
  <c r="R258" i="1"/>
  <c r="Q258" i="1"/>
  <c r="Q262" i="1"/>
  <c r="Q263" i="1"/>
  <c r="P258" i="1"/>
  <c r="O258" i="1"/>
  <c r="O262" i="1"/>
  <c r="O263" i="1"/>
  <c r="N258" i="1"/>
  <c r="N262" i="1"/>
  <c r="N263" i="1"/>
  <c r="M258" i="1"/>
  <c r="M262" i="1"/>
  <c r="M263" i="1"/>
  <c r="L258" i="1"/>
  <c r="K258" i="1"/>
  <c r="K262" i="1"/>
  <c r="J258" i="1"/>
  <c r="H258" i="1"/>
  <c r="H262" i="1"/>
  <c r="H263" i="1"/>
  <c r="G258" i="1"/>
  <c r="F258" i="1"/>
  <c r="F262" i="1"/>
  <c r="E228" i="1"/>
  <c r="E230" i="1"/>
  <c r="D228" i="1"/>
  <c r="T227" i="1"/>
  <c r="R227" i="1"/>
  <c r="Q227" i="1"/>
  <c r="P227" i="1"/>
  <c r="P228" i="1"/>
  <c r="P229" i="1"/>
  <c r="O227" i="1"/>
  <c r="O228" i="1"/>
  <c r="O229" i="1"/>
  <c r="N227" i="1"/>
  <c r="L227" i="1"/>
  <c r="L228" i="1"/>
  <c r="L229" i="1"/>
  <c r="K227" i="1"/>
  <c r="K228" i="1"/>
  <c r="K229" i="1"/>
  <c r="J227" i="1"/>
  <c r="J228" i="1"/>
  <c r="H227" i="1"/>
  <c r="G227" i="1"/>
  <c r="F227" i="1"/>
  <c r="S228" i="1"/>
  <c r="S229" i="1"/>
  <c r="T211" i="1"/>
  <c r="T212" i="1"/>
  <c r="S211" i="1"/>
  <c r="S212" i="1"/>
  <c r="R211" i="1"/>
  <c r="R212" i="1"/>
  <c r="Q211" i="1"/>
  <c r="Q212" i="1"/>
  <c r="P211" i="1"/>
  <c r="P212" i="1"/>
  <c r="O211" i="1"/>
  <c r="O212" i="1"/>
  <c r="N211" i="1"/>
  <c r="N212" i="1"/>
  <c r="M211" i="1"/>
  <c r="M212" i="1"/>
  <c r="L211" i="1"/>
  <c r="L212" i="1"/>
  <c r="K211" i="1"/>
  <c r="K212" i="1"/>
  <c r="J211" i="1"/>
  <c r="J212" i="1"/>
  <c r="H211" i="1"/>
  <c r="H212" i="1"/>
  <c r="G211" i="1"/>
  <c r="G212" i="1"/>
  <c r="F211" i="1"/>
  <c r="F212" i="1"/>
  <c r="E205" i="1"/>
  <c r="E207" i="1"/>
  <c r="D205" i="1"/>
  <c r="S205" i="1"/>
  <c r="J205" i="1"/>
  <c r="J206" i="1"/>
  <c r="S193" i="1"/>
  <c r="M193" i="1"/>
  <c r="M194" i="1"/>
  <c r="E193" i="1"/>
  <c r="E195" i="1"/>
  <c r="D193" i="1"/>
  <c r="T192" i="1"/>
  <c r="T193" i="1"/>
  <c r="T194" i="1"/>
  <c r="R192" i="1"/>
  <c r="R193" i="1"/>
  <c r="R194" i="1"/>
  <c r="Q192" i="1"/>
  <c r="Q193" i="1"/>
  <c r="Q194" i="1"/>
  <c r="P192" i="1"/>
  <c r="P193" i="1"/>
  <c r="O192" i="1"/>
  <c r="O193" i="1"/>
  <c r="O194" i="1"/>
  <c r="N192" i="1"/>
  <c r="N193" i="1"/>
  <c r="L192" i="1"/>
  <c r="L193" i="1"/>
  <c r="L194" i="1"/>
  <c r="K192" i="1"/>
  <c r="K193" i="1"/>
  <c r="J192" i="1"/>
  <c r="J193" i="1"/>
  <c r="H192" i="1"/>
  <c r="G192" i="1"/>
  <c r="F192" i="1"/>
  <c r="I191" i="1"/>
  <c r="H188" i="1"/>
  <c r="H193" i="1"/>
  <c r="H194" i="1"/>
  <c r="G188" i="1"/>
  <c r="G193" i="1"/>
  <c r="G194" i="1"/>
  <c r="F188" i="1"/>
  <c r="T139" i="1"/>
  <c r="L139" i="1"/>
  <c r="E132" i="1"/>
  <c r="E134" i="1"/>
  <c r="D132" i="1"/>
  <c r="T131" i="1"/>
  <c r="R131" i="1"/>
  <c r="Q131" i="1"/>
  <c r="P131" i="1"/>
  <c r="O131" i="1"/>
  <c r="N131" i="1"/>
  <c r="L131" i="1"/>
  <c r="K131" i="1"/>
  <c r="J131" i="1"/>
  <c r="H131" i="1"/>
  <c r="G131" i="1"/>
  <c r="F131" i="1"/>
  <c r="T130" i="1"/>
  <c r="S130" i="1"/>
  <c r="R130" i="1"/>
  <c r="Q130" i="1"/>
  <c r="P130" i="1"/>
  <c r="O130" i="1"/>
  <c r="N130" i="1"/>
  <c r="K130" i="1"/>
  <c r="J130" i="1"/>
  <c r="H130" i="1"/>
  <c r="G130" i="1"/>
  <c r="F130" i="1"/>
  <c r="I129" i="1"/>
  <c r="T128" i="1"/>
  <c r="S128" i="1"/>
  <c r="R128" i="1"/>
  <c r="Q128" i="1"/>
  <c r="P128" i="1"/>
  <c r="O128" i="1"/>
  <c r="N128" i="1"/>
  <c r="M128" i="1"/>
  <c r="K128" i="1"/>
  <c r="J128" i="1"/>
  <c r="H128" i="1"/>
  <c r="G128" i="1"/>
  <c r="F128" i="1"/>
  <c r="T127" i="1"/>
  <c r="S127" i="1"/>
  <c r="R127" i="1"/>
  <c r="Q127" i="1"/>
  <c r="P127" i="1"/>
  <c r="O127" i="1"/>
  <c r="N127" i="1"/>
  <c r="M127" i="1"/>
  <c r="L127" i="1"/>
  <c r="K127" i="1"/>
  <c r="J127" i="1"/>
  <c r="H127" i="1"/>
  <c r="G127" i="1"/>
  <c r="F127" i="1"/>
  <c r="I126" i="1"/>
  <c r="T125" i="1"/>
  <c r="S125" i="1"/>
  <c r="R125" i="1"/>
  <c r="Q125" i="1"/>
  <c r="P125" i="1"/>
  <c r="O125" i="1"/>
  <c r="N125" i="1"/>
  <c r="M125" i="1"/>
  <c r="L125" i="1"/>
  <c r="K125" i="1"/>
  <c r="J125" i="1"/>
  <c r="H125" i="1"/>
  <c r="G125" i="1"/>
  <c r="F125" i="1"/>
  <c r="E121" i="1"/>
  <c r="E123" i="1"/>
  <c r="D121" i="1"/>
  <c r="T120" i="1"/>
  <c r="R120" i="1"/>
  <c r="Q120" i="1"/>
  <c r="P120" i="1"/>
  <c r="O120" i="1"/>
  <c r="N120" i="1"/>
  <c r="L120" i="1"/>
  <c r="K120" i="1"/>
  <c r="J120" i="1"/>
  <c r="H120" i="1"/>
  <c r="G120" i="1"/>
  <c r="F120" i="1"/>
  <c r="I119" i="1"/>
  <c r="T117" i="1"/>
  <c r="S117" i="1"/>
  <c r="S121" i="1"/>
  <c r="S122" i="1"/>
  <c r="R117" i="1"/>
  <c r="Q117" i="1"/>
  <c r="Q121" i="1"/>
  <c r="Q122" i="1"/>
  <c r="P117" i="1"/>
  <c r="O117" i="1"/>
  <c r="O121" i="1"/>
  <c r="N117" i="1"/>
  <c r="M117" i="1"/>
  <c r="M121" i="1"/>
  <c r="M122" i="1"/>
  <c r="L117" i="1"/>
  <c r="K117" i="1"/>
  <c r="J117" i="1"/>
  <c r="H117" i="1"/>
  <c r="G117" i="1"/>
  <c r="F117" i="1"/>
  <c r="I116" i="1"/>
  <c r="R104" i="1"/>
  <c r="R105" i="1"/>
  <c r="M104" i="1"/>
  <c r="M105" i="1"/>
  <c r="D104" i="1"/>
  <c r="T104" i="1"/>
  <c r="T105" i="1"/>
  <c r="S104" i="1"/>
  <c r="Q104" i="1"/>
  <c r="Q105" i="1"/>
  <c r="P104" i="1"/>
  <c r="P105" i="1"/>
  <c r="O104" i="1"/>
  <c r="O105" i="1"/>
  <c r="N104" i="1"/>
  <c r="N105" i="1"/>
  <c r="L104" i="1"/>
  <c r="L105" i="1"/>
  <c r="K104" i="1"/>
  <c r="K105" i="1"/>
  <c r="J104" i="1"/>
  <c r="J105" i="1"/>
  <c r="H104" i="1"/>
  <c r="H105" i="1"/>
  <c r="F104" i="1"/>
  <c r="F105" i="1"/>
  <c r="E98" i="1"/>
  <c r="E100" i="1"/>
  <c r="D98" i="1"/>
  <c r="T96" i="1"/>
  <c r="R96" i="1"/>
  <c r="Q96" i="1"/>
  <c r="P96" i="1"/>
  <c r="O96" i="1"/>
  <c r="N96" i="1"/>
  <c r="L96" i="1"/>
  <c r="K96" i="1"/>
  <c r="J96" i="1"/>
  <c r="H96" i="1"/>
  <c r="G96" i="1"/>
  <c r="F96" i="1"/>
  <c r="T95" i="1"/>
  <c r="S95" i="1"/>
  <c r="R95" i="1"/>
  <c r="Q95" i="1"/>
  <c r="P95" i="1"/>
  <c r="O95" i="1"/>
  <c r="N95" i="1"/>
  <c r="K95" i="1"/>
  <c r="J95" i="1"/>
  <c r="H95" i="1"/>
  <c r="G95" i="1"/>
  <c r="F95" i="1"/>
  <c r="T93" i="1"/>
  <c r="S93" i="1"/>
  <c r="R93" i="1"/>
  <c r="Q93" i="1"/>
  <c r="P93" i="1"/>
  <c r="O93" i="1"/>
  <c r="N93" i="1"/>
  <c r="M93" i="1"/>
  <c r="L93" i="1"/>
  <c r="K93" i="1"/>
  <c r="J93" i="1"/>
  <c r="H93" i="1"/>
  <c r="G93" i="1"/>
  <c r="F93" i="1"/>
  <c r="T92" i="1"/>
  <c r="S92" i="1"/>
  <c r="P92" i="1"/>
  <c r="O92" i="1"/>
  <c r="M92" i="1"/>
  <c r="L92" i="1"/>
  <c r="K92" i="1"/>
  <c r="J92" i="1"/>
  <c r="H92" i="1"/>
  <c r="G92" i="1"/>
  <c r="F92" i="1"/>
  <c r="M86" i="1"/>
  <c r="M87" i="1"/>
  <c r="E86" i="1"/>
  <c r="E88" i="1"/>
  <c r="D86" i="1"/>
  <c r="T85" i="1"/>
  <c r="T86" i="1"/>
  <c r="T87" i="1"/>
  <c r="R85" i="1"/>
  <c r="R86" i="1"/>
  <c r="R87" i="1"/>
  <c r="Q85" i="1"/>
  <c r="Q86" i="1"/>
  <c r="Q87" i="1"/>
  <c r="P85" i="1"/>
  <c r="P86" i="1"/>
  <c r="P87" i="1"/>
  <c r="O85" i="1"/>
  <c r="O86" i="1"/>
  <c r="O87" i="1"/>
  <c r="N85" i="1"/>
  <c r="N86" i="1"/>
  <c r="N87" i="1"/>
  <c r="L85" i="1"/>
  <c r="L86" i="1"/>
  <c r="L87" i="1"/>
  <c r="K85" i="1"/>
  <c r="K86" i="1"/>
  <c r="K87" i="1"/>
  <c r="J85" i="1"/>
  <c r="J86" i="1"/>
  <c r="H85" i="1"/>
  <c r="G85" i="1"/>
  <c r="F85" i="1"/>
  <c r="I84" i="1"/>
  <c r="S86" i="1"/>
  <c r="S87" i="1"/>
  <c r="H82" i="1"/>
  <c r="G82" i="1"/>
  <c r="G86" i="1"/>
  <c r="F82" i="1"/>
  <c r="D68" i="1"/>
  <c r="T68" i="1"/>
  <c r="T69" i="1"/>
  <c r="S68" i="1"/>
  <c r="S69" i="1"/>
  <c r="R68" i="1"/>
  <c r="R69" i="1"/>
  <c r="Q68" i="1"/>
  <c r="Q69" i="1"/>
  <c r="P68" i="1"/>
  <c r="P69" i="1"/>
  <c r="O68" i="1"/>
  <c r="O69" i="1"/>
  <c r="N68" i="1"/>
  <c r="N69" i="1"/>
  <c r="M68" i="1"/>
  <c r="M69" i="1"/>
  <c r="L68" i="1"/>
  <c r="L69" i="1"/>
  <c r="K68" i="1"/>
  <c r="K69" i="1"/>
  <c r="J68" i="1"/>
  <c r="J69" i="1"/>
  <c r="H68" i="1"/>
  <c r="H69" i="1"/>
  <c r="F68" i="1"/>
  <c r="F69" i="1"/>
  <c r="E62" i="1"/>
  <c r="E64" i="1"/>
  <c r="D62" i="1"/>
  <c r="T61" i="1"/>
  <c r="R61" i="1"/>
  <c r="Q61" i="1"/>
  <c r="P61" i="1"/>
  <c r="O61" i="1"/>
  <c r="N61" i="1"/>
  <c r="L61" i="1"/>
  <c r="K61" i="1"/>
  <c r="J61" i="1"/>
  <c r="H61" i="1"/>
  <c r="G61" i="1"/>
  <c r="F61" i="1"/>
  <c r="T60" i="1"/>
  <c r="S60" i="1"/>
  <c r="R60" i="1"/>
  <c r="Q60" i="1"/>
  <c r="P60" i="1"/>
  <c r="O60" i="1"/>
  <c r="N60" i="1"/>
  <c r="K60" i="1"/>
  <c r="J60" i="1"/>
  <c r="H60" i="1"/>
  <c r="G60" i="1"/>
  <c r="F60" i="1"/>
  <c r="T57" i="1"/>
  <c r="T62" i="1"/>
  <c r="T63" i="1"/>
  <c r="S57" i="1"/>
  <c r="R57" i="1"/>
  <c r="Q57" i="1"/>
  <c r="P57" i="1"/>
  <c r="O57" i="1"/>
  <c r="N57" i="1"/>
  <c r="N62" i="1"/>
  <c r="L57" i="1"/>
  <c r="K57" i="1"/>
  <c r="J57" i="1"/>
  <c r="H57" i="1"/>
  <c r="G57" i="1"/>
  <c r="F57" i="1"/>
  <c r="I56" i="1"/>
  <c r="T54" i="1"/>
  <c r="S54" i="1"/>
  <c r="R54" i="1"/>
  <c r="Q54" i="1"/>
  <c r="P54" i="1"/>
  <c r="O54" i="1"/>
  <c r="N54" i="1"/>
  <c r="M54" i="1"/>
  <c r="L54" i="1"/>
  <c r="K54" i="1"/>
  <c r="J54" i="1"/>
  <c r="H54" i="1"/>
  <c r="G54" i="1"/>
  <c r="F54" i="1"/>
  <c r="I54" i="1"/>
  <c r="E51" i="1"/>
  <c r="D51" i="1"/>
  <c r="T50" i="1"/>
  <c r="R50" i="1"/>
  <c r="Q50" i="1"/>
  <c r="P50" i="1"/>
  <c r="O50" i="1"/>
  <c r="N50" i="1"/>
  <c r="L50" i="1"/>
  <c r="K50" i="1"/>
  <c r="J50" i="1"/>
  <c r="H50" i="1"/>
  <c r="G50" i="1"/>
  <c r="F50" i="1"/>
  <c r="T49" i="1"/>
  <c r="S49" i="1"/>
  <c r="S51" i="1"/>
  <c r="S52" i="1"/>
  <c r="R49" i="1"/>
  <c r="Q49" i="1"/>
  <c r="P49" i="1"/>
  <c r="O49" i="1"/>
  <c r="N49" i="1"/>
  <c r="M49" i="1"/>
  <c r="M51" i="1"/>
  <c r="M52" i="1"/>
  <c r="L49" i="1"/>
  <c r="K49" i="1"/>
  <c r="J49" i="1"/>
  <c r="H49" i="1"/>
  <c r="G49" i="1"/>
  <c r="G51" i="1"/>
  <c r="G52" i="1"/>
  <c r="F49" i="1"/>
  <c r="M34" i="1"/>
  <c r="M35" i="1"/>
  <c r="D34" i="1"/>
  <c r="Q34" i="1"/>
  <c r="Q35" i="1"/>
  <c r="E28" i="1"/>
  <c r="E30" i="1"/>
  <c r="D28" i="1"/>
  <c r="T27" i="1"/>
  <c r="R27" i="1"/>
  <c r="Q27" i="1"/>
  <c r="P27" i="1"/>
  <c r="O27" i="1"/>
  <c r="N27" i="1"/>
  <c r="L27" i="1"/>
  <c r="K27" i="1"/>
  <c r="J27" i="1"/>
  <c r="H27" i="1"/>
  <c r="G27" i="1"/>
  <c r="F27" i="1"/>
  <c r="T26" i="1"/>
  <c r="S26" i="1"/>
  <c r="R26" i="1"/>
  <c r="Q26" i="1"/>
  <c r="P26" i="1"/>
  <c r="O26" i="1"/>
  <c r="N26" i="1"/>
  <c r="K26" i="1"/>
  <c r="J26" i="1"/>
  <c r="H26" i="1"/>
  <c r="G26" i="1"/>
  <c r="F26" i="1"/>
  <c r="T24" i="1"/>
  <c r="S24" i="1"/>
  <c r="R24" i="1"/>
  <c r="Q24" i="1"/>
  <c r="P24" i="1"/>
  <c r="O24" i="1"/>
  <c r="N24" i="1"/>
  <c r="M24" i="1"/>
  <c r="K24" i="1"/>
  <c r="J24" i="1"/>
  <c r="H24" i="1"/>
  <c r="G24" i="1"/>
  <c r="F24" i="1"/>
  <c r="R23" i="1"/>
  <c r="M23" i="1"/>
  <c r="T22" i="1"/>
  <c r="S22" i="1"/>
  <c r="P22" i="1"/>
  <c r="O22" i="1"/>
  <c r="M22" i="1"/>
  <c r="L22" i="1"/>
  <c r="K22" i="1"/>
  <c r="J22" i="1"/>
  <c r="H22" i="1"/>
  <c r="G22" i="1"/>
  <c r="F22" i="1"/>
  <c r="T21" i="1"/>
  <c r="S21" i="1"/>
  <c r="R21" i="1"/>
  <c r="Q21" i="1"/>
  <c r="P21" i="1"/>
  <c r="O21" i="1"/>
  <c r="N21" i="1"/>
  <c r="M21" i="1"/>
  <c r="L21" i="1"/>
  <c r="L28" i="1"/>
  <c r="L29" i="1"/>
  <c r="K21" i="1"/>
  <c r="J21" i="1"/>
  <c r="H21" i="1"/>
  <c r="G21" i="1"/>
  <c r="F21" i="1"/>
  <c r="T20" i="1"/>
  <c r="S20" i="1"/>
  <c r="R20" i="1"/>
  <c r="Q20" i="1"/>
  <c r="P20" i="1"/>
  <c r="O20" i="1"/>
  <c r="N20" i="1"/>
  <c r="M20" i="1"/>
  <c r="L20" i="1"/>
  <c r="K20" i="1"/>
  <c r="J20" i="1"/>
  <c r="H20" i="1"/>
  <c r="G20" i="1"/>
  <c r="F20" i="1"/>
  <c r="E15" i="1"/>
  <c r="E18" i="1"/>
  <c r="T14" i="1"/>
  <c r="R14" i="1"/>
  <c r="Q14" i="1"/>
  <c r="P14" i="1"/>
  <c r="O14" i="1"/>
  <c r="N14" i="1"/>
  <c r="L14" i="1"/>
  <c r="L15" i="1"/>
  <c r="L16" i="1"/>
  <c r="K14" i="1"/>
  <c r="J14" i="1"/>
  <c r="H14" i="1"/>
  <c r="G14" i="1"/>
  <c r="F14" i="1"/>
  <c r="I13" i="1"/>
  <c r="T12" i="1"/>
  <c r="S12" i="1"/>
  <c r="S15" i="1"/>
  <c r="S16" i="1"/>
  <c r="R12" i="1"/>
  <c r="Q12" i="1"/>
  <c r="Q15" i="1"/>
  <c r="Q16" i="1"/>
  <c r="P12" i="1"/>
  <c r="P15" i="1"/>
  <c r="P16" i="1"/>
  <c r="O12" i="1"/>
  <c r="O15" i="1"/>
  <c r="N12" i="1"/>
  <c r="N15" i="1"/>
  <c r="M12" i="1"/>
  <c r="M15" i="1"/>
  <c r="K12" i="1"/>
  <c r="J12" i="1"/>
  <c r="H12" i="1"/>
  <c r="G12" i="1"/>
  <c r="F12" i="1"/>
  <c r="H10" i="1"/>
  <c r="G10" i="1"/>
  <c r="F10" i="1"/>
  <c r="D169" i="1"/>
  <c r="D158" i="1"/>
  <c r="T336" i="1"/>
  <c r="S336" i="1"/>
  <c r="R336" i="1"/>
  <c r="Q336" i="1"/>
  <c r="P336" i="1"/>
  <c r="O336" i="1"/>
  <c r="N336" i="1"/>
  <c r="M336" i="1"/>
  <c r="L336" i="1"/>
  <c r="K336" i="1"/>
  <c r="J336" i="1"/>
  <c r="H336" i="1"/>
  <c r="G336" i="1"/>
  <c r="F336" i="1"/>
  <c r="E158" i="1"/>
  <c r="E160" i="1"/>
  <c r="E343" i="1"/>
  <c r="E345" i="1"/>
  <c r="E332" i="1"/>
  <c r="E334" i="1"/>
  <c r="I330" i="1"/>
  <c r="E169" i="1"/>
  <c r="E171" i="1"/>
  <c r="I156" i="1"/>
  <c r="D349" i="1"/>
  <c r="T339" i="1"/>
  <c r="S339" i="1"/>
  <c r="R339" i="1"/>
  <c r="Q339" i="1"/>
  <c r="P339" i="1"/>
  <c r="O339" i="1"/>
  <c r="N339" i="1"/>
  <c r="M339" i="1"/>
  <c r="K339" i="1"/>
  <c r="J339" i="1"/>
  <c r="H339" i="1"/>
  <c r="G339" i="1"/>
  <c r="F339" i="1"/>
  <c r="T328" i="1"/>
  <c r="S328" i="1"/>
  <c r="R328" i="1"/>
  <c r="Q328" i="1"/>
  <c r="P328" i="1"/>
  <c r="O328" i="1"/>
  <c r="N328" i="1"/>
  <c r="M328" i="1"/>
  <c r="L328" i="1"/>
  <c r="K328" i="1"/>
  <c r="J328" i="1"/>
  <c r="H328" i="1"/>
  <c r="G328" i="1"/>
  <c r="F328" i="1"/>
  <c r="T326" i="1"/>
  <c r="S326" i="1"/>
  <c r="R326" i="1"/>
  <c r="Q326" i="1"/>
  <c r="P326" i="1"/>
  <c r="O326" i="1"/>
  <c r="N326" i="1"/>
  <c r="M326" i="1"/>
  <c r="K326" i="1"/>
  <c r="J326" i="1"/>
  <c r="H326" i="1"/>
  <c r="G326" i="1"/>
  <c r="F326" i="1"/>
  <c r="T154" i="1"/>
  <c r="S154" i="1"/>
  <c r="R154" i="1"/>
  <c r="Q154" i="1"/>
  <c r="P154" i="1"/>
  <c r="O154" i="1"/>
  <c r="N154" i="1"/>
  <c r="M154" i="1"/>
  <c r="L154" i="1"/>
  <c r="K154" i="1"/>
  <c r="J154" i="1"/>
  <c r="H154" i="1"/>
  <c r="G154" i="1"/>
  <c r="F154" i="1"/>
  <c r="T152" i="1"/>
  <c r="S152" i="1"/>
  <c r="R152" i="1"/>
  <c r="Q152" i="1"/>
  <c r="P152" i="1"/>
  <c r="O152" i="1"/>
  <c r="N152" i="1"/>
  <c r="M152" i="1"/>
  <c r="K152" i="1"/>
  <c r="J152" i="1"/>
  <c r="H152" i="1"/>
  <c r="G152" i="1"/>
  <c r="F152" i="1"/>
  <c r="I329" i="1"/>
  <c r="I155" i="1"/>
  <c r="T327" i="1"/>
  <c r="S327" i="1"/>
  <c r="R327" i="1"/>
  <c r="Q327" i="1"/>
  <c r="P327" i="1"/>
  <c r="O327" i="1"/>
  <c r="N327" i="1"/>
  <c r="M327" i="1"/>
  <c r="L327" i="1"/>
  <c r="K327" i="1"/>
  <c r="J327" i="1"/>
  <c r="H327" i="1"/>
  <c r="G327" i="1"/>
  <c r="F327" i="1"/>
  <c r="T153" i="1"/>
  <c r="S153" i="1"/>
  <c r="R153" i="1"/>
  <c r="Q153" i="1"/>
  <c r="P153" i="1"/>
  <c r="O153" i="1"/>
  <c r="N153" i="1"/>
  <c r="M153" i="1"/>
  <c r="L153" i="1"/>
  <c r="K153" i="1"/>
  <c r="J153" i="1"/>
  <c r="H153" i="1"/>
  <c r="G153" i="1"/>
  <c r="F153" i="1"/>
  <c r="T341" i="1"/>
  <c r="S341" i="1"/>
  <c r="R341" i="1"/>
  <c r="Q341" i="1"/>
  <c r="P341" i="1"/>
  <c r="O341" i="1"/>
  <c r="N341" i="1"/>
  <c r="K341" i="1"/>
  <c r="J341" i="1"/>
  <c r="H341" i="1"/>
  <c r="G341" i="1"/>
  <c r="F341" i="1"/>
  <c r="T167" i="1"/>
  <c r="S167" i="1"/>
  <c r="R167" i="1"/>
  <c r="Q167" i="1"/>
  <c r="P167" i="1"/>
  <c r="O167" i="1"/>
  <c r="N167" i="1"/>
  <c r="K167" i="1"/>
  <c r="J167" i="1"/>
  <c r="H167" i="1"/>
  <c r="G167" i="1"/>
  <c r="F167" i="1"/>
  <c r="T342" i="1"/>
  <c r="R342" i="1"/>
  <c r="Q342" i="1"/>
  <c r="P342" i="1"/>
  <c r="O342" i="1"/>
  <c r="N342" i="1"/>
  <c r="L342" i="1"/>
  <c r="K342" i="1"/>
  <c r="J342" i="1"/>
  <c r="H342" i="1"/>
  <c r="G342" i="1"/>
  <c r="F342" i="1"/>
  <c r="T331" i="1"/>
  <c r="R331" i="1"/>
  <c r="R332" i="1"/>
  <c r="R333" i="1"/>
  <c r="Q331" i="1"/>
  <c r="P331" i="1"/>
  <c r="O331" i="1"/>
  <c r="N331" i="1"/>
  <c r="L331" i="1"/>
  <c r="L332" i="1"/>
  <c r="K331" i="1"/>
  <c r="J331" i="1"/>
  <c r="H331" i="1"/>
  <c r="G331" i="1"/>
  <c r="F331" i="1"/>
  <c r="T168" i="1"/>
  <c r="R168" i="1"/>
  <c r="Q168" i="1"/>
  <c r="P168" i="1"/>
  <c r="O168" i="1"/>
  <c r="N168" i="1"/>
  <c r="L168" i="1"/>
  <c r="L169" i="1"/>
  <c r="L170" i="1"/>
  <c r="K168" i="1"/>
  <c r="J168" i="1"/>
  <c r="H168" i="1"/>
  <c r="G168" i="1"/>
  <c r="F168" i="1"/>
  <c r="T157" i="1"/>
  <c r="R157" i="1"/>
  <c r="Q157" i="1"/>
  <c r="P157" i="1"/>
  <c r="O157" i="1"/>
  <c r="N157" i="1"/>
  <c r="L157" i="1"/>
  <c r="K157" i="1"/>
  <c r="J157" i="1"/>
  <c r="H157" i="1"/>
  <c r="G157" i="1"/>
  <c r="F157" i="1"/>
  <c r="T349" i="1"/>
  <c r="T350" i="1"/>
  <c r="S349" i="1"/>
  <c r="S350" i="1"/>
  <c r="R349" i="1"/>
  <c r="R350" i="1"/>
  <c r="Q349" i="1"/>
  <c r="Q350" i="1"/>
  <c r="P349" i="1"/>
  <c r="P350" i="1"/>
  <c r="O349" i="1"/>
  <c r="O350" i="1"/>
  <c r="N349" i="1"/>
  <c r="N350" i="1"/>
  <c r="M349" i="1"/>
  <c r="M350" i="1"/>
  <c r="L349" i="1"/>
  <c r="L350" i="1"/>
  <c r="K349" i="1"/>
  <c r="K350" i="1"/>
  <c r="J349" i="1"/>
  <c r="J350" i="1"/>
  <c r="H349" i="1"/>
  <c r="H350" i="1"/>
  <c r="G349" i="1"/>
  <c r="G350" i="1"/>
  <c r="D343" i="1"/>
  <c r="O176" i="1"/>
  <c r="F175" i="1"/>
  <c r="F176" i="1"/>
  <c r="D332" i="1"/>
  <c r="D175" i="1"/>
  <c r="J175" i="1"/>
  <c r="J176" i="1"/>
  <c r="K175" i="1"/>
  <c r="K176" i="1"/>
  <c r="M175" i="1"/>
  <c r="M176" i="1"/>
  <c r="N175" i="1"/>
  <c r="N176" i="1"/>
  <c r="P175" i="1"/>
  <c r="P176" i="1"/>
  <c r="Q175" i="1"/>
  <c r="Q176" i="1"/>
  <c r="R175" i="1"/>
  <c r="R176" i="1"/>
  <c r="G228" i="1"/>
  <c r="G229" i="1"/>
  <c r="G68" i="1"/>
  <c r="G69" i="1"/>
  <c r="S105" i="1"/>
  <c r="I192" i="1"/>
  <c r="J121" i="1"/>
  <c r="J122" i="1"/>
  <c r="K297" i="1"/>
  <c r="K298" i="1"/>
  <c r="F86" i="1"/>
  <c r="F87" i="1"/>
  <c r="I68" i="1"/>
  <c r="I69" i="1"/>
  <c r="G297" i="1"/>
  <c r="G298" i="1"/>
  <c r="G205" i="1"/>
  <c r="G206" i="1"/>
  <c r="F263" i="1"/>
  <c r="L262" i="1"/>
  <c r="L263" i="1"/>
  <c r="J272" i="1"/>
  <c r="J273" i="1"/>
  <c r="I268" i="1"/>
  <c r="R272" i="1"/>
  <c r="R273" i="1"/>
  <c r="I270" i="1"/>
  <c r="F297" i="1"/>
  <c r="F298" i="1"/>
  <c r="I294" i="1"/>
  <c r="I296" i="1"/>
  <c r="L297" i="1"/>
  <c r="T297" i="1"/>
  <c r="T298" i="1"/>
  <c r="S332" i="1"/>
  <c r="K205" i="1"/>
  <c r="K206" i="1"/>
  <c r="P169" i="1"/>
  <c r="P170" i="1"/>
  <c r="I258" i="1"/>
  <c r="G104" i="1"/>
  <c r="G105" i="1"/>
  <c r="F16" i="1"/>
  <c r="S159" i="1"/>
  <c r="T332" i="1"/>
  <c r="T333" i="1"/>
  <c r="H228" i="1"/>
  <c r="H229" i="1"/>
  <c r="H308" i="1"/>
  <c r="H309" i="1"/>
  <c r="I302" i="1"/>
  <c r="N169" i="1"/>
  <c r="N170" i="1"/>
  <c r="L343" i="1"/>
  <c r="L344" i="1"/>
  <c r="I10" i="1"/>
  <c r="F349" i="1"/>
  <c r="F350" i="1"/>
  <c r="F28" i="1"/>
  <c r="F29" i="1"/>
  <c r="O28" i="1"/>
  <c r="O29" i="1"/>
  <c r="G87" i="1"/>
  <c r="Q298" i="1"/>
  <c r="G343" i="1"/>
  <c r="G344" i="1"/>
  <c r="F51" i="1"/>
  <c r="F52" i="1"/>
  <c r="N205" i="1"/>
  <c r="N206" i="1"/>
  <c r="S333" i="1"/>
  <c r="Q279" i="1"/>
  <c r="I278" i="1"/>
  <c r="I279" i="1"/>
  <c r="J169" i="1"/>
  <c r="J170" i="1"/>
  <c r="W121" i="1"/>
  <c r="L298" i="1"/>
  <c r="J229" i="1"/>
  <c r="I262" i="1"/>
  <c r="I263" i="1"/>
  <c r="K263" i="1"/>
  <c r="F193" i="1"/>
  <c r="S194" i="1"/>
  <c r="R228" i="1"/>
  <c r="R229" i="1"/>
  <c r="I57" i="1"/>
  <c r="R262" i="1"/>
  <c r="R263" i="1"/>
  <c r="I226" i="1"/>
  <c r="F194" i="1"/>
  <c r="S298" i="1"/>
  <c r="S316" i="1"/>
  <c r="S318" i="1"/>
  <c r="I85" i="1"/>
  <c r="I157" i="1"/>
  <c r="N228" i="1"/>
  <c r="N229" i="1"/>
  <c r="N297" i="1"/>
  <c r="R15" i="1"/>
  <c r="G28" i="1"/>
  <c r="G29" i="1"/>
  <c r="T28" i="1"/>
  <c r="T29" i="1"/>
  <c r="J62" i="1"/>
  <c r="J63" i="1"/>
  <c r="I82" i="1"/>
  <c r="J132" i="1"/>
  <c r="J133" i="1"/>
  <c r="N272" i="1"/>
  <c r="I271" i="1"/>
  <c r="N63" i="1"/>
  <c r="O122" i="1"/>
  <c r="I127" i="1"/>
  <c r="G132" i="1"/>
  <c r="S206" i="1"/>
  <c r="K280" i="1"/>
  <c r="K282" i="1"/>
  <c r="G309" i="1"/>
  <c r="L309" i="1"/>
  <c r="L316" i="1"/>
  <c r="L318" i="1"/>
  <c r="G169" i="1"/>
  <c r="G170" i="1"/>
  <c r="T263" i="1"/>
  <c r="I188" i="1"/>
  <c r="F132" i="1"/>
  <c r="F133" i="1"/>
  <c r="G175" i="1"/>
  <c r="G176" i="1"/>
  <c r="F332" i="1"/>
  <c r="Q62" i="1"/>
  <c r="Q63" i="1"/>
  <c r="Q308" i="1"/>
  <c r="F240" i="1"/>
  <c r="F241" i="1"/>
  <c r="G240" i="1"/>
  <c r="G241" i="1"/>
  <c r="R240" i="1"/>
  <c r="R241" i="1"/>
  <c r="P240" i="1"/>
  <c r="P241" i="1"/>
  <c r="N240" i="1"/>
  <c r="N241" i="1"/>
  <c r="J240" i="1"/>
  <c r="J241" i="1"/>
  <c r="I12" i="1"/>
  <c r="L51" i="1"/>
  <c r="H86" i="1"/>
  <c r="F121" i="1"/>
  <c r="N121" i="1"/>
  <c r="T132" i="1"/>
  <c r="I130" i="1"/>
  <c r="Q228" i="1"/>
  <c r="P262" i="1"/>
  <c r="P263" i="1"/>
  <c r="G272" i="1"/>
  <c r="G273" i="1"/>
  <c r="I307" i="1"/>
  <c r="I211" i="1"/>
  <c r="I212" i="1"/>
  <c r="I198" i="1"/>
  <c r="J343" i="1"/>
  <c r="J344" i="1"/>
  <c r="L98" i="1"/>
  <c r="L99" i="1"/>
  <c r="K121" i="1"/>
  <c r="K122" i="1"/>
  <c r="P121" i="1"/>
  <c r="R121" i="1"/>
  <c r="R122" i="1"/>
  <c r="R132" i="1"/>
  <c r="I272" i="1"/>
  <c r="I273" i="1"/>
  <c r="N248" i="1"/>
  <c r="N250" i="1"/>
  <c r="P248" i="1"/>
  <c r="P250" i="1"/>
  <c r="G133" i="1"/>
  <c r="N122" i="1"/>
  <c r="L52" i="1"/>
  <c r="I34" i="1"/>
  <c r="J35" i="1"/>
  <c r="G35" i="1"/>
  <c r="N35" i="1"/>
  <c r="P35" i="1"/>
  <c r="R35" i="1"/>
  <c r="T35" i="1"/>
  <c r="P298" i="1"/>
  <c r="I60" i="1"/>
  <c r="I61" i="1"/>
  <c r="I95" i="1"/>
  <c r="I96" i="1"/>
  <c r="T121" i="1"/>
  <c r="T122" i="1"/>
  <c r="I120" i="1"/>
  <c r="H132" i="1"/>
  <c r="H133" i="1"/>
  <c r="K132" i="1"/>
  <c r="K133" i="1"/>
  <c r="S213" i="1"/>
  <c r="S215" i="1"/>
  <c r="I342" i="1"/>
  <c r="G332" i="1"/>
  <c r="G351" i="1"/>
  <c r="G353" i="1"/>
  <c r="O332" i="1"/>
  <c r="O333" i="1"/>
  <c r="R343" i="1"/>
  <c r="R344" i="1"/>
  <c r="I336" i="1"/>
  <c r="H343" i="1"/>
  <c r="H344" i="1"/>
  <c r="G15" i="1"/>
  <c r="G16" i="1"/>
  <c r="K28" i="1"/>
  <c r="K29" i="1"/>
  <c r="Q28" i="1"/>
  <c r="Q29" i="1"/>
  <c r="R28" i="1"/>
  <c r="R29" i="1"/>
  <c r="I26" i="1"/>
  <c r="I27" i="1"/>
  <c r="N28" i="1"/>
  <c r="N29" i="1"/>
  <c r="Q51" i="1"/>
  <c r="Q52" i="1"/>
  <c r="F62" i="1"/>
  <c r="F63" i="1"/>
  <c r="K62" i="1"/>
  <c r="K63" i="1"/>
  <c r="M272" i="1"/>
  <c r="M273" i="1"/>
  <c r="J297" i="1"/>
  <c r="I90" i="1"/>
  <c r="I175" i="1"/>
  <c r="I176" i="1"/>
  <c r="F205" i="1"/>
  <c r="F206" i="1"/>
  <c r="H205" i="1"/>
  <c r="O205" i="1"/>
  <c r="O206" i="1"/>
  <c r="Q205" i="1"/>
  <c r="Q206" i="1"/>
  <c r="M240" i="1"/>
  <c r="S240" i="1"/>
  <c r="S248" i="1"/>
  <c r="S250" i="1"/>
  <c r="L36" i="1"/>
  <c r="L38" i="1"/>
  <c r="N51" i="1"/>
  <c r="P51" i="1"/>
  <c r="P52" i="1"/>
  <c r="I162" i="1"/>
  <c r="I341" i="1"/>
  <c r="I153" i="1"/>
  <c r="I154" i="1"/>
  <c r="O343" i="1"/>
  <c r="O344" i="1"/>
  <c r="I326" i="1"/>
  <c r="I328" i="1"/>
  <c r="I202" i="1"/>
  <c r="N16" i="1"/>
  <c r="N36" i="1"/>
  <c r="N38" i="1"/>
  <c r="S241" i="1"/>
  <c r="K159" i="1"/>
  <c r="K332" i="1"/>
  <c r="K333" i="1"/>
  <c r="M332" i="1"/>
  <c r="M333" i="1"/>
  <c r="F343" i="1"/>
  <c r="F344" i="1"/>
  <c r="K343" i="1"/>
  <c r="K351" i="1"/>
  <c r="K353" i="1"/>
  <c r="H98" i="1"/>
  <c r="H99" i="1"/>
  <c r="S98" i="1"/>
  <c r="F272" i="1"/>
  <c r="F273" i="1"/>
  <c r="F308" i="1"/>
  <c r="F309" i="1"/>
  <c r="K308" i="1"/>
  <c r="K316" i="1"/>
  <c r="K318" i="1"/>
  <c r="N308" i="1"/>
  <c r="N309" i="1"/>
  <c r="R308" i="1"/>
  <c r="R98" i="1"/>
  <c r="R99" i="1"/>
  <c r="G62" i="1"/>
  <c r="G63" i="1"/>
  <c r="P62" i="1"/>
  <c r="P63" i="1"/>
  <c r="R62" i="1"/>
  <c r="O169" i="1"/>
  <c r="O170" i="1"/>
  <c r="S169" i="1"/>
  <c r="S170" i="1"/>
  <c r="M308" i="1"/>
  <c r="M309" i="1"/>
  <c r="I165" i="1"/>
  <c r="I199" i="1"/>
  <c r="I235" i="1"/>
  <c r="I237" i="1"/>
  <c r="P122" i="1"/>
  <c r="F333" i="1"/>
  <c r="T316" i="1"/>
  <c r="T318" i="1"/>
  <c r="I168" i="1"/>
  <c r="K15" i="1"/>
  <c r="I14" i="1"/>
  <c r="I15" i="1"/>
  <c r="I16" i="1"/>
  <c r="J15" i="1"/>
  <c r="T15" i="1"/>
  <c r="T16" i="1"/>
  <c r="I20" i="1"/>
  <c r="I21" i="1"/>
  <c r="H28" i="1"/>
  <c r="H29" i="1"/>
  <c r="H121" i="1"/>
  <c r="H122" i="1"/>
  <c r="L132" i="1"/>
  <c r="L133" i="1"/>
  <c r="N132" i="1"/>
  <c r="N133" i="1"/>
  <c r="P132" i="1"/>
  <c r="P133" i="1"/>
  <c r="L240" i="1"/>
  <c r="L241" i="1"/>
  <c r="Q240" i="1"/>
  <c r="Q241" i="1"/>
  <c r="T240" i="1"/>
  <c r="T241" i="1"/>
  <c r="Q229" i="1"/>
  <c r="T133" i="1"/>
  <c r="T140" i="1"/>
  <c r="T142" i="1"/>
  <c r="F122" i="1"/>
  <c r="F140" i="1"/>
  <c r="F142" i="1"/>
  <c r="Q316" i="1"/>
  <c r="Q318" i="1"/>
  <c r="Q309" i="1"/>
  <c r="G333" i="1"/>
  <c r="R16" i="1"/>
  <c r="R36" i="1"/>
  <c r="R38" i="1"/>
  <c r="L351" i="1"/>
  <c r="L353" i="1"/>
  <c r="L333" i="1"/>
  <c r="I280" i="1"/>
  <c r="I282" i="1"/>
  <c r="N298" i="1"/>
  <c r="O159" i="1"/>
  <c r="Q159" i="1"/>
  <c r="M213" i="1"/>
  <c r="M215" i="1"/>
  <c r="M206" i="1"/>
  <c r="L62" i="1"/>
  <c r="L63" i="1"/>
  <c r="F36" i="1"/>
  <c r="F38" i="1"/>
  <c r="L106" i="1"/>
  <c r="L108" i="1"/>
  <c r="L248" i="1"/>
  <c r="L250" i="1"/>
  <c r="I306" i="1"/>
  <c r="I308" i="1"/>
  <c r="P280" i="1"/>
  <c r="P282" i="1"/>
  <c r="S280" i="1"/>
  <c r="S282" i="1"/>
  <c r="F159" i="1"/>
  <c r="G159" i="1"/>
  <c r="G213" i="1"/>
  <c r="G215" i="1"/>
  <c r="I193" i="1"/>
  <c r="I194" i="1"/>
  <c r="F169" i="1"/>
  <c r="F170" i="1"/>
  <c r="J140" i="1"/>
  <c r="J142" i="1"/>
  <c r="G316" i="1"/>
  <c r="G318" i="1"/>
  <c r="R280" i="1"/>
  <c r="R282" i="1"/>
  <c r="G36" i="1"/>
  <c r="G38" i="1"/>
  <c r="G262" i="1"/>
  <c r="R169" i="1"/>
  <c r="R170" i="1"/>
  <c r="I331" i="1"/>
  <c r="I167" i="1"/>
  <c r="I169" i="1"/>
  <c r="I170" i="1"/>
  <c r="Q169" i="1"/>
  <c r="Q170" i="1"/>
  <c r="T343" i="1"/>
  <c r="R51" i="1"/>
  <c r="R52" i="1"/>
  <c r="N140" i="1"/>
  <c r="N142" i="1"/>
  <c r="P308" i="1"/>
  <c r="P309" i="1"/>
  <c r="X316" i="1"/>
  <c r="O240" i="1"/>
  <c r="H240" i="1"/>
  <c r="I239" i="1"/>
  <c r="I152" i="1"/>
  <c r="I339" i="1"/>
  <c r="I343" i="1"/>
  <c r="I344" i="1"/>
  <c r="Q343" i="1"/>
  <c r="Q344" i="1"/>
  <c r="H15" i="1"/>
  <c r="J28" i="1"/>
  <c r="J29" i="1"/>
  <c r="P28" i="1"/>
  <c r="I22" i="1"/>
  <c r="S28" i="1"/>
  <c r="S29" i="1"/>
  <c r="M28" i="1"/>
  <c r="M29" i="1"/>
  <c r="I24" i="1"/>
  <c r="I49" i="1"/>
  <c r="H51" i="1"/>
  <c r="H52" i="1"/>
  <c r="K51" i="1"/>
  <c r="K52" i="1"/>
  <c r="I50" i="1"/>
  <c r="J51" i="1"/>
  <c r="J52" i="1"/>
  <c r="T51" i="1"/>
  <c r="T70" i="1"/>
  <c r="T72" i="1"/>
  <c r="F70" i="1"/>
  <c r="F72" i="1"/>
  <c r="I92" i="1"/>
  <c r="J98" i="1"/>
  <c r="J99" i="1"/>
  <c r="O98" i="1"/>
  <c r="O99" i="1"/>
  <c r="I93" i="1"/>
  <c r="M98" i="1"/>
  <c r="M99" i="1"/>
  <c r="Q98" i="1"/>
  <c r="N98" i="1"/>
  <c r="P98" i="1"/>
  <c r="P99" i="1"/>
  <c r="T98" i="1"/>
  <c r="T99" i="1"/>
  <c r="I117" i="1"/>
  <c r="I121" i="1"/>
  <c r="L121" i="1"/>
  <c r="L140" i="1"/>
  <c r="L142" i="1"/>
  <c r="S132" i="1"/>
  <c r="T228" i="1"/>
  <c r="J262" i="1"/>
  <c r="O272" i="1"/>
  <c r="H272" i="1"/>
  <c r="H297" i="1"/>
  <c r="M297" i="1"/>
  <c r="O297" i="1"/>
  <c r="O308" i="1"/>
  <c r="O309" i="1"/>
  <c r="I55" i="1"/>
  <c r="I62" i="1"/>
  <c r="I63" i="1"/>
  <c r="L205" i="1"/>
  <c r="L206" i="1"/>
  <c r="R205" i="1"/>
  <c r="R206" i="1"/>
  <c r="T205" i="1"/>
  <c r="I200" i="1"/>
  <c r="I204" i="1"/>
  <c r="H87" i="1"/>
  <c r="H106" i="1"/>
  <c r="H108" i="1"/>
  <c r="M63" i="1"/>
  <c r="M70" i="1"/>
  <c r="M72" i="1"/>
  <c r="K344" i="1"/>
  <c r="J248" i="1"/>
  <c r="J250" i="1"/>
  <c r="R248" i="1"/>
  <c r="R250" i="1"/>
  <c r="G248" i="1"/>
  <c r="G250" i="1"/>
  <c r="I98" i="1"/>
  <c r="I99" i="1"/>
  <c r="R133" i="1"/>
  <c r="R140" i="1"/>
  <c r="R142" i="1"/>
  <c r="O16" i="1"/>
  <c r="O36" i="1"/>
  <c r="O38" i="1"/>
  <c r="J16" i="1"/>
  <c r="J70" i="1"/>
  <c r="J72" i="1"/>
  <c r="K140" i="1"/>
  <c r="K142" i="1"/>
  <c r="G98" i="1"/>
  <c r="S177" i="1"/>
  <c r="S179" i="1"/>
  <c r="M280" i="1"/>
  <c r="M282" i="1"/>
  <c r="K309" i="1"/>
  <c r="G70" i="1"/>
  <c r="G72" i="1"/>
  <c r="I86" i="1"/>
  <c r="Q36" i="1"/>
  <c r="Q38" i="1"/>
  <c r="F213" i="1"/>
  <c r="F215" i="1"/>
  <c r="L280" i="1"/>
  <c r="L282" i="1"/>
  <c r="N343" i="1"/>
  <c r="N344" i="1"/>
  <c r="P343" i="1"/>
  <c r="P344" i="1"/>
  <c r="N332" i="1"/>
  <c r="P332" i="1"/>
  <c r="P333" i="1"/>
  <c r="S343" i="1"/>
  <c r="I125" i="1"/>
  <c r="J194" i="1"/>
  <c r="J213" i="1"/>
  <c r="J215" i="1"/>
  <c r="F228" i="1"/>
  <c r="I227" i="1"/>
  <c r="I228" i="1"/>
  <c r="J332" i="1"/>
  <c r="I327" i="1"/>
  <c r="H332" i="1"/>
  <c r="Q332" i="1"/>
  <c r="O51" i="1"/>
  <c r="O62" i="1"/>
  <c r="O63" i="1"/>
  <c r="G121" i="1"/>
  <c r="M132" i="1"/>
  <c r="O132" i="1"/>
  <c r="Q132" i="1"/>
  <c r="Q133" i="1"/>
  <c r="I128" i="1"/>
  <c r="I131" i="1"/>
  <c r="K240" i="1"/>
  <c r="T272" i="1"/>
  <c r="I293" i="1"/>
  <c r="I297" i="1"/>
  <c r="I298" i="1"/>
  <c r="I232" i="1"/>
  <c r="T36" i="1"/>
  <c r="T38" i="1"/>
  <c r="I35" i="1"/>
  <c r="I309" i="1"/>
  <c r="W316" i="1"/>
  <c r="N273" i="1"/>
  <c r="N280" i="1"/>
  <c r="N282" i="1"/>
  <c r="M16" i="1"/>
  <c r="M36" i="1"/>
  <c r="M38" i="1"/>
  <c r="J87" i="1"/>
  <c r="J106" i="1"/>
  <c r="J108" i="1"/>
  <c r="K213" i="1"/>
  <c r="K215" i="1"/>
  <c r="K194" i="1"/>
  <c r="P213" i="1"/>
  <c r="P215" i="1"/>
  <c r="P194" i="1"/>
  <c r="Q273" i="1"/>
  <c r="Q280" i="1"/>
  <c r="Q282" i="1"/>
  <c r="R63" i="1"/>
  <c r="P106" i="1"/>
  <c r="P108" i="1"/>
  <c r="N213" i="1"/>
  <c r="N215" i="1"/>
  <c r="N194" i="1"/>
  <c r="H169" i="1"/>
  <c r="K169" i="1"/>
  <c r="K170" i="1"/>
  <c r="H62" i="1"/>
  <c r="S62" i="1"/>
  <c r="T169" i="1"/>
  <c r="T170" i="1"/>
  <c r="M343" i="1"/>
  <c r="F98" i="1"/>
  <c r="K98" i="1"/>
  <c r="R70" i="1"/>
  <c r="R72" i="1"/>
  <c r="L122" i="1"/>
  <c r="I332" i="1"/>
  <c r="H140" i="1"/>
  <c r="H142" i="1"/>
  <c r="T106" i="1"/>
  <c r="T108" i="1"/>
  <c r="R106" i="1"/>
  <c r="R108" i="1"/>
  <c r="P70" i="1"/>
  <c r="P72" i="1"/>
  <c r="Q70" i="1"/>
  <c r="Q72" i="1"/>
  <c r="Q213" i="1"/>
  <c r="Q215" i="1"/>
  <c r="R351" i="1"/>
  <c r="R353" i="1"/>
  <c r="M241" i="1"/>
  <c r="M248" i="1"/>
  <c r="M250" i="1"/>
  <c r="J36" i="1"/>
  <c r="J38" i="1"/>
  <c r="H206" i="1"/>
  <c r="H213" i="1"/>
  <c r="H215" i="1"/>
  <c r="J298" i="1"/>
  <c r="J316" i="1"/>
  <c r="J318" i="1"/>
  <c r="O213" i="1"/>
  <c r="O215" i="1"/>
  <c r="N70" i="1"/>
  <c r="N72" i="1"/>
  <c r="N52" i="1"/>
  <c r="M106" i="1"/>
  <c r="M108" i="1"/>
  <c r="O106" i="1"/>
  <c r="O108" i="1"/>
  <c r="I28" i="1"/>
  <c r="O351" i="1"/>
  <c r="O353" i="1"/>
  <c r="F316" i="1"/>
  <c r="F318" i="1"/>
  <c r="N316" i="1"/>
  <c r="N318" i="1"/>
  <c r="I159" i="1"/>
  <c r="M159" i="1"/>
  <c r="M177" i="1"/>
  <c r="M179" i="1"/>
  <c r="O177" i="1"/>
  <c r="O179" i="1"/>
  <c r="L213" i="1"/>
  <c r="L215" i="1"/>
  <c r="Q248" i="1"/>
  <c r="Q250" i="1"/>
  <c r="F280" i="1"/>
  <c r="F282" i="1"/>
  <c r="F351" i="1"/>
  <c r="F353" i="1"/>
  <c r="I205" i="1"/>
  <c r="I206" i="1"/>
  <c r="K70" i="1"/>
  <c r="K72" i="1"/>
  <c r="I51" i="1"/>
  <c r="I52" i="1"/>
  <c r="L70" i="1"/>
  <c r="L72" i="1"/>
  <c r="K36" i="1"/>
  <c r="K38" i="1"/>
  <c r="K16" i="1"/>
  <c r="P140" i="1"/>
  <c r="P142" i="1"/>
  <c r="R309" i="1"/>
  <c r="R316" i="1"/>
  <c r="R318" i="1"/>
  <c r="S99" i="1"/>
  <c r="S106" i="1"/>
  <c r="S108" i="1"/>
  <c r="I29" i="1"/>
  <c r="I36" i="1"/>
  <c r="I38" i="1"/>
  <c r="O241" i="1"/>
  <c r="O248" i="1"/>
  <c r="O250" i="1"/>
  <c r="G263" i="1"/>
  <c r="G280" i="1"/>
  <c r="G282" i="1"/>
  <c r="P316" i="1"/>
  <c r="P318" i="1"/>
  <c r="I316" i="1"/>
  <c r="I318" i="1"/>
  <c r="I240" i="1"/>
  <c r="I241" i="1"/>
  <c r="S36" i="1"/>
  <c r="S38" i="1"/>
  <c r="T52" i="1"/>
  <c r="G177" i="1"/>
  <c r="G179" i="1"/>
  <c r="F177" i="1"/>
  <c r="F179" i="1"/>
  <c r="T206" i="1"/>
  <c r="T213" i="1"/>
  <c r="T215" i="1"/>
  <c r="O298" i="1"/>
  <c r="O316" i="1"/>
  <c r="O318" i="1"/>
  <c r="H298" i="1"/>
  <c r="H316" i="1"/>
  <c r="H318" i="1"/>
  <c r="O273" i="1"/>
  <c r="O280" i="1"/>
  <c r="O282" i="1"/>
  <c r="T248" i="1"/>
  <c r="T250" i="1"/>
  <c r="T229" i="1"/>
  <c r="N106" i="1"/>
  <c r="N108" i="1"/>
  <c r="N99" i="1"/>
  <c r="L177" i="1"/>
  <c r="L179" i="1"/>
  <c r="H241" i="1"/>
  <c r="H248" i="1"/>
  <c r="H250" i="1"/>
  <c r="T344" i="1"/>
  <c r="T351" i="1"/>
  <c r="T353" i="1"/>
  <c r="R213" i="1"/>
  <c r="R215" i="1"/>
  <c r="Q177" i="1"/>
  <c r="Q179" i="1"/>
  <c r="M298" i="1"/>
  <c r="M316" i="1"/>
  <c r="M318" i="1"/>
  <c r="H273" i="1"/>
  <c r="H280" i="1"/>
  <c r="H282" i="1"/>
  <c r="J263" i="1"/>
  <c r="J280" i="1"/>
  <c r="J282" i="1"/>
  <c r="S140" i="1"/>
  <c r="S142" i="1"/>
  <c r="S133" i="1"/>
  <c r="Q99" i="1"/>
  <c r="Q106" i="1"/>
  <c r="Q108" i="1"/>
  <c r="P29" i="1"/>
  <c r="P36" i="1"/>
  <c r="P38" i="1"/>
  <c r="H16" i="1"/>
  <c r="H36" i="1"/>
  <c r="H38" i="1"/>
  <c r="I229" i="1"/>
  <c r="I248" i="1"/>
  <c r="I250" i="1"/>
  <c r="T273" i="1"/>
  <c r="T280" i="1"/>
  <c r="T282" i="1"/>
  <c r="M133" i="1"/>
  <c r="M140" i="1"/>
  <c r="M142" i="1"/>
  <c r="I122" i="1"/>
  <c r="O52" i="1"/>
  <c r="O70" i="1"/>
  <c r="O72" i="1"/>
  <c r="H333" i="1"/>
  <c r="H351" i="1"/>
  <c r="H353" i="1"/>
  <c r="J333" i="1"/>
  <c r="J351" i="1"/>
  <c r="J353" i="1"/>
  <c r="F229" i="1"/>
  <c r="F248" i="1"/>
  <c r="F250" i="1"/>
  <c r="Q140" i="1"/>
  <c r="Q142" i="1"/>
  <c r="P177" i="1"/>
  <c r="P179" i="1"/>
  <c r="T177" i="1"/>
  <c r="T179" i="1"/>
  <c r="P351" i="1"/>
  <c r="P353" i="1"/>
  <c r="V121" i="1"/>
  <c r="K241" i="1"/>
  <c r="K248" i="1"/>
  <c r="K250" i="1"/>
  <c r="O133" i="1"/>
  <c r="O140" i="1"/>
  <c r="O142" i="1"/>
  <c r="G122" i="1"/>
  <c r="G140" i="1"/>
  <c r="G142" i="1"/>
  <c r="Q333" i="1"/>
  <c r="Q351" i="1"/>
  <c r="Q353" i="1"/>
  <c r="I351" i="1"/>
  <c r="I353" i="1"/>
  <c r="I333" i="1"/>
  <c r="V316" i="1"/>
  <c r="I132" i="1"/>
  <c r="I133" i="1"/>
  <c r="S344" i="1"/>
  <c r="S351" i="1"/>
  <c r="S353" i="1"/>
  <c r="N333" i="1"/>
  <c r="N351" i="1"/>
  <c r="N353" i="1"/>
  <c r="R159" i="1"/>
  <c r="I106" i="1"/>
  <c r="I108" i="1"/>
  <c r="I87" i="1"/>
  <c r="G99" i="1"/>
  <c r="G106" i="1"/>
  <c r="G108" i="1"/>
  <c r="M351" i="1"/>
  <c r="M353" i="1"/>
  <c r="M344" i="1"/>
  <c r="K99" i="1"/>
  <c r="K106" i="1"/>
  <c r="K108" i="1"/>
  <c r="S63" i="1"/>
  <c r="S70" i="1"/>
  <c r="S72" i="1"/>
  <c r="F106" i="1"/>
  <c r="F108" i="1"/>
  <c r="F99" i="1"/>
  <c r="K177" i="1"/>
  <c r="K179" i="1"/>
  <c r="H63" i="1"/>
  <c r="H70" i="1"/>
  <c r="H72" i="1"/>
  <c r="H177" i="1"/>
  <c r="H179" i="1"/>
  <c r="H170" i="1"/>
  <c r="I177" i="1"/>
  <c r="I179" i="1"/>
  <c r="I70" i="1"/>
  <c r="I72" i="1"/>
  <c r="I213" i="1"/>
  <c r="I215" i="1"/>
  <c r="I140" i="1"/>
  <c r="I142" i="1"/>
  <c r="X121" i="1"/>
  <c r="J159" i="1"/>
  <c r="N177" i="1"/>
  <c r="N179" i="1"/>
</calcChain>
</file>

<file path=xl/sharedStrings.xml><?xml version="1.0" encoding="utf-8"?>
<sst xmlns="http://schemas.openxmlformats.org/spreadsheetml/2006/main" count="578" uniqueCount="123">
  <si>
    <t>Примерное меню и пищевая ценность приготовляемых блюд</t>
  </si>
  <si>
    <t>понедельник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</si>
  <si>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</si>
  <si>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</si>
  <si>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</si>
  <si>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</si>
  <si>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</si>
  <si>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</si>
  <si>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</si>
  <si>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</si>
  <si>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</si>
  <si>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</si>
  <si>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</si>
  <si>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</si>
  <si>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</si>
  <si>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</si>
  <si>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</si>
  <si>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</si>
  <si>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</si>
  <si>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</si>
  <si>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</si>
  <si>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</si>
  <si>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</si>
  <si>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мясной</t>
  </si>
  <si>
    <t>Каша гречневая  рассыпчатая с маслом</t>
  </si>
  <si>
    <t>Итого за Завтрак мясной</t>
  </si>
  <si>
    <t>Завтрак молочный</t>
  </si>
  <si>
    <t>Итого за 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</si>
  <si>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</si>
  <si>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</si>
  <si>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</si>
  <si>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</si>
  <si>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2)</t>
  </si>
  <si>
    <t>вторник</t>
  </si>
  <si>
    <t>Примерное меню и пищевая ценность приготовляемых блюд (лист 3)</t>
  </si>
  <si>
    <t>среда</t>
  </si>
  <si>
    <t>Примерное меню и пищевая ценность приготовляемых блюд (лист 4)</t>
  </si>
  <si>
    <t>четверг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</si>
  <si>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</si>
  <si>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</si>
  <si>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</si>
  <si>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Примерное меню и пищевая ценность приготовляемых блюд (лист 7)</t>
  </si>
  <si>
    <t>Примерное меню и пищевая ценность приготовляемых блюд (лист 8)</t>
  </si>
  <si>
    <t>Примерное меню и пищевая ценность приготовляемых блюд (лист 9)</t>
  </si>
  <si>
    <t>Примерное меню и пищевая ценность приготовляемых блюд (лист 10)</t>
  </si>
  <si>
    <t>Чай с лимоном</t>
  </si>
  <si>
    <t>Хлеб ржано-пшеничный</t>
  </si>
  <si>
    <t xml:space="preserve">Картофельное пюре с маслом сливочным </t>
  </si>
  <si>
    <t xml:space="preserve">Омлет натуральный с маслом сливочным </t>
  </si>
  <si>
    <t>Компот из быстрозамороженных ягод  (компотная смесь)</t>
  </si>
  <si>
    <t>Плов  с  птицей</t>
  </si>
  <si>
    <t xml:space="preserve">Жаркое по- домашнему </t>
  </si>
  <si>
    <t>Кофейный напиток на молоке</t>
  </si>
  <si>
    <t>Хлеб пшеничный</t>
  </si>
  <si>
    <t>Салат из свеклы с маслом растительным</t>
  </si>
  <si>
    <t xml:space="preserve">Рацион: Школа </t>
  </si>
  <si>
    <t>Рацион: Школа</t>
  </si>
  <si>
    <t>В2</t>
  </si>
  <si>
    <t>ZN</t>
  </si>
  <si>
    <t>I</t>
  </si>
  <si>
    <t xml:space="preserve">I </t>
  </si>
  <si>
    <t>Итого в день</t>
  </si>
  <si>
    <t>% от суточной нормы</t>
  </si>
  <si>
    <t>суточная норма</t>
  </si>
  <si>
    <t xml:space="preserve">Холодная закуска: Овощи порционно / Огурец </t>
  </si>
  <si>
    <t>Приложение 8 к СанПиН 2.3/2.4.3590-20</t>
  </si>
  <si>
    <t>ПР</t>
  </si>
  <si>
    <t>Рекомендуется использование продуктов и сырья по ГОСТам на детскую продукцию для питания детей старше 3-х лет и на специализированное сырье для производства продукции детского питания.</t>
  </si>
  <si>
    <t>среднее ЭЦ  завтраки 2 нед</t>
  </si>
  <si>
    <t>среднее ЭЦ обеды 2 нед</t>
  </si>
  <si>
    <t>среднее ЭЦ полдник 2 нед</t>
  </si>
  <si>
    <t>среднее ЭЦ  завтраки 1 нед</t>
  </si>
  <si>
    <t>среднее ЭЦ обеды 1 нед</t>
  </si>
  <si>
    <t>среднее ЭЦ полдник 1 нед</t>
  </si>
  <si>
    <t xml:space="preserve">Салат из  свежих помидоров и огурцов с растительным маслом </t>
  </si>
  <si>
    <t>*Итого за Обед (осенний период)</t>
  </si>
  <si>
    <t>*Итого за Завтрак (осенний период)</t>
  </si>
  <si>
    <t>Сыр твердо-мягкий порционно с м.д.ж. 45%</t>
  </si>
  <si>
    <t>Борщ "Сибирский" с фасолью</t>
  </si>
  <si>
    <t>Макаронные изделия отварные с маслом сливочным</t>
  </si>
  <si>
    <t>Зеленый горошек</t>
  </si>
  <si>
    <t>Котлета "Куриная"</t>
  </si>
  <si>
    <t>Винегрет овощной</t>
  </si>
  <si>
    <t>№ рец. по сборнику</t>
  </si>
  <si>
    <t>Салат из капусты с огурцом</t>
  </si>
  <si>
    <t>* 29 ОП</t>
  </si>
  <si>
    <t>ПРИМЕЧАНИЕ  ** могут быть использованы нектары,морсы, напитки сокосодержащие (в т.ч. обогащенные)</t>
  </si>
  <si>
    <t>Салат из белокачанной капусты с морковью</t>
  </si>
  <si>
    <t>Салат "Витаминный" (капуста квашеная, зел. горошек)</t>
  </si>
  <si>
    <t>Бифштекс рубленый "Детский" (в соответствии с ГОСТ Р 55366-2012)</t>
  </si>
  <si>
    <t>Палочки мясные "Детские" запеченые (в соответствии с ГОСТ Р 55366-2012)</t>
  </si>
  <si>
    <t xml:space="preserve">Какао с молоком </t>
  </si>
  <si>
    <t>* 49 ОП</t>
  </si>
  <si>
    <t>Суп картофельный с горохом на м/б</t>
  </si>
  <si>
    <t>Котлета " Школьная" запеченная (в соответствии с ГОСТ Р 55366-2012)</t>
  </si>
  <si>
    <t>Суп картофельный с макаронными изделиями на м/б</t>
  </si>
  <si>
    <t xml:space="preserve">Компот из смеси сухофруктов     </t>
  </si>
  <si>
    <t>Пудинг творожный</t>
  </si>
  <si>
    <t>Сгущенное молоко</t>
  </si>
  <si>
    <t>Борщ со свежей капустой на м/б</t>
  </si>
  <si>
    <t>Лимонный напиток</t>
  </si>
  <si>
    <t xml:space="preserve">Рис отварной с маслом сливочным </t>
  </si>
  <si>
    <t>Рассольник "Ленинградский" на м/б</t>
  </si>
  <si>
    <t>Суп картофельный с рыбными консервами</t>
  </si>
  <si>
    <t>Рагу овощное</t>
  </si>
  <si>
    <t>Птица, порционная  с овощами</t>
  </si>
  <si>
    <t>Суп картофельный (с крупой) на м/б</t>
  </si>
  <si>
    <t>Щи из свежей капусты на м/б</t>
  </si>
  <si>
    <t>Гуляш мясной 90/30</t>
  </si>
  <si>
    <t xml:space="preserve">Фрукт порционно </t>
  </si>
  <si>
    <t>Кондитерское изделие</t>
  </si>
  <si>
    <t>Напиток апельсиновый</t>
  </si>
  <si>
    <t>Салат из свежей капусты   "Молодость"</t>
  </si>
  <si>
    <t xml:space="preserve">Каша рисовая молочная с маслом сливочным </t>
  </si>
  <si>
    <t>Овощи порционно /  огурец</t>
  </si>
  <si>
    <t>Каша манная молочная с маслом сливочным</t>
  </si>
  <si>
    <t>Салат "Витаминный"</t>
  </si>
  <si>
    <t>Молоко ''Авишка''</t>
  </si>
  <si>
    <t>Холодная закуска: Овощи порционно / Огурец  соленый</t>
  </si>
  <si>
    <t xml:space="preserve">Рыба, запеченная с овощами </t>
  </si>
  <si>
    <t>Биточки рыбные</t>
  </si>
  <si>
    <t>7-11 лет /11 и старше</t>
  </si>
  <si>
    <t>ООО "Фабрика сбалансированного питания"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</si>
</sst>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2" formatCode="0.0"/>
    <numFmt numFmtId="184" formatCode="0.000"/>
    <numFmt numFmtId="185" formatCode="0.0000"/>
    <numFmt numFmtId="193" formatCode="0.0%"/>
  </numFmts>
  <fonts count="14" x14ac:knownFonts="1"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1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293">
    <xf numFmtId="0" fontId="0" fillId="0" borderId="0" xfId="0"/>
    <xf numFmtId="0" fontId="5" fillId="0" borderId="0" xfId="0" applyFont="1"/>
    <xf numFmtId="0" fontId="5" fillId="4" borderId="0" xfId="0" applyFont="1" applyFill="1" applyAlignment="1">
      <alignment horizontal="left"/>
    </xf>
    <xf numFmtId="0" fontId="5" fillId="4" borderId="0" xfId="0" applyFont="1" applyFill="1"/>
    <xf numFmtId="0" fontId="0" fillId="4" borderId="0" xfId="0" applyFill="1"/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1" fontId="5" fillId="4" borderId="0" xfId="0" applyNumberFormat="1" applyFont="1" applyFill="1" applyAlignment="1">
      <alignment horizontal="left"/>
    </xf>
    <xf numFmtId="10" fontId="5" fillId="0" borderId="0" xfId="0" applyNumberFormat="1" applyFont="1"/>
    <xf numFmtId="0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 indent="1"/>
    </xf>
    <xf numFmtId="0" fontId="5" fillId="4" borderId="1" xfId="0" applyNumberFormat="1" applyFont="1" applyFill="1" applyBorder="1" applyAlignment="1">
      <alignment horizontal="right"/>
    </xf>
    <xf numFmtId="0" fontId="4" fillId="4" borderId="1" xfId="0" applyNumberFormat="1" applyFont="1" applyFill="1" applyBorder="1" applyAlignment="1">
      <alignment horizontal="left"/>
    </xf>
    <xf numFmtId="0" fontId="5" fillId="4" borderId="1" xfId="0" applyFont="1" applyFill="1" applyBorder="1"/>
    <xf numFmtId="0" fontId="5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left" indent="1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5" fillId="4" borderId="2" xfId="0" applyNumberFormat="1" applyFont="1" applyFill="1" applyBorder="1" applyAlignment="1">
      <alignment horizontal="right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/>
    </xf>
    <xf numFmtId="0" fontId="5" fillId="4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left" indent="1"/>
    </xf>
    <xf numFmtId="0" fontId="4" fillId="4" borderId="2" xfId="0" applyNumberFormat="1" applyFont="1" applyFill="1" applyBorder="1" applyAlignment="1">
      <alignment horizontal="left"/>
    </xf>
    <xf numFmtId="2" fontId="4" fillId="4" borderId="2" xfId="0" applyNumberFormat="1" applyFont="1" applyFill="1" applyBorder="1" applyAlignment="1">
      <alignment horizontal="left" indent="1"/>
    </xf>
    <xf numFmtId="0" fontId="0" fillId="4" borderId="2" xfId="0" applyFill="1" applyBorder="1" applyAlignment="1">
      <alignment horizontal="left"/>
    </xf>
    <xf numFmtId="0" fontId="5" fillId="4" borderId="3" xfId="0" applyFont="1" applyFill="1" applyBorder="1"/>
    <xf numFmtId="2" fontId="6" fillId="4" borderId="3" xfId="0" applyNumberFormat="1" applyFont="1" applyFill="1" applyBorder="1" applyAlignment="1">
      <alignment horizontal="center" vertical="top"/>
    </xf>
    <xf numFmtId="0" fontId="5" fillId="4" borderId="1" xfId="0" applyNumberFormat="1" applyFont="1" applyFill="1" applyBorder="1" applyAlignment="1">
      <alignment horizontal="center" vertical="top"/>
    </xf>
    <xf numFmtId="0" fontId="5" fillId="4" borderId="2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 wrapText="1"/>
    </xf>
    <xf numFmtId="2" fontId="5" fillId="4" borderId="2" xfId="0" applyNumberFormat="1" applyFont="1" applyFill="1" applyBorder="1" applyAlignment="1">
      <alignment horizontal="center" vertical="top" wrapText="1"/>
    </xf>
    <xf numFmtId="2" fontId="5" fillId="4" borderId="0" xfId="0" applyNumberFormat="1" applyFont="1" applyFill="1"/>
    <xf numFmtId="184" fontId="5" fillId="4" borderId="1" xfId="0" applyNumberFormat="1" applyFont="1" applyFill="1" applyBorder="1" applyAlignment="1">
      <alignment horizontal="center" vertical="top"/>
    </xf>
    <xf numFmtId="184" fontId="5" fillId="4" borderId="2" xfId="0" applyNumberFormat="1" applyFont="1" applyFill="1" applyBorder="1" applyAlignment="1">
      <alignment horizontal="center" vertical="top"/>
    </xf>
    <xf numFmtId="1" fontId="5" fillId="4" borderId="3" xfId="0" applyNumberFormat="1" applyFont="1" applyFill="1" applyBorder="1" applyAlignment="1">
      <alignment horizontal="center"/>
    </xf>
    <xf numFmtId="182" fontId="4" fillId="4" borderId="3" xfId="0" applyNumberFormat="1" applyFont="1" applyFill="1" applyBorder="1" applyAlignment="1">
      <alignment horizontal="center" vertical="top"/>
    </xf>
    <xf numFmtId="2" fontId="4" fillId="4" borderId="3" xfId="0" applyNumberFormat="1" applyFont="1" applyFill="1" applyBorder="1" applyAlignment="1">
      <alignment horizontal="center" vertical="top"/>
    </xf>
    <xf numFmtId="184" fontId="4" fillId="4" borderId="3" xfId="0" applyNumberFormat="1" applyFont="1" applyFill="1" applyBorder="1" applyAlignment="1">
      <alignment horizontal="center" vertical="top"/>
    </xf>
    <xf numFmtId="2" fontId="4" fillId="4" borderId="2" xfId="0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0" fontId="4" fillId="4" borderId="3" xfId="0" applyNumberFormat="1" applyFont="1" applyFill="1" applyBorder="1" applyAlignment="1">
      <alignment horizontal="center" vertical="top"/>
    </xf>
    <xf numFmtId="193" fontId="4" fillId="4" borderId="3" xfId="0" applyNumberFormat="1" applyFont="1" applyFill="1" applyBorder="1" applyAlignment="1">
      <alignment horizontal="center" vertical="top"/>
    </xf>
    <xf numFmtId="9" fontId="4" fillId="4" borderId="3" xfId="0" applyNumberFormat="1" applyFont="1" applyFill="1" applyBorder="1" applyAlignment="1">
      <alignment horizontal="center" vertical="top"/>
    </xf>
    <xf numFmtId="9" fontId="4" fillId="4" borderId="1" xfId="0" applyNumberFormat="1" applyFont="1" applyFill="1" applyBorder="1" applyAlignment="1">
      <alignment horizontal="center" vertical="top"/>
    </xf>
    <xf numFmtId="9" fontId="4" fillId="4" borderId="2" xfId="0" applyNumberFormat="1" applyFont="1" applyFill="1" applyBorder="1" applyAlignment="1">
      <alignment horizontal="center" vertical="top"/>
    </xf>
    <xf numFmtId="182" fontId="4" fillId="4" borderId="1" xfId="0" applyNumberFormat="1" applyFont="1" applyFill="1" applyBorder="1" applyAlignment="1">
      <alignment horizontal="center" vertical="top"/>
    </xf>
    <xf numFmtId="1" fontId="4" fillId="4" borderId="3" xfId="0" applyNumberFormat="1" applyFont="1" applyFill="1" applyBorder="1" applyAlignment="1">
      <alignment horizontal="center" vertical="top"/>
    </xf>
    <xf numFmtId="2" fontId="4" fillId="4" borderId="4" xfId="0" applyNumberFormat="1" applyFont="1" applyFill="1" applyBorder="1" applyAlignment="1">
      <alignment horizontal="center" vertical="top"/>
    </xf>
    <xf numFmtId="193" fontId="4" fillId="4" borderId="1" xfId="0" applyNumberFormat="1" applyFont="1" applyFill="1" applyBorder="1" applyAlignment="1">
      <alignment horizontal="center" vertical="top"/>
    </xf>
    <xf numFmtId="193" fontId="4" fillId="4" borderId="2" xfId="0" applyNumberFormat="1" applyFont="1" applyFill="1" applyBorder="1" applyAlignment="1">
      <alignment horizontal="center" vertical="top"/>
    </xf>
    <xf numFmtId="182" fontId="5" fillId="0" borderId="0" xfId="0" applyNumberFormat="1" applyFont="1" applyFill="1" applyBorder="1" applyAlignment="1">
      <alignment horizontal="center" vertical="top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82" fontId="4" fillId="4" borderId="4" xfId="0" applyNumberFormat="1" applyFont="1" applyFill="1" applyBorder="1" applyAlignment="1">
      <alignment horizontal="center" vertical="top"/>
    </xf>
    <xf numFmtId="0" fontId="4" fillId="4" borderId="3" xfId="0" applyFont="1" applyFill="1" applyBorder="1" applyAlignment="1"/>
    <xf numFmtId="0" fontId="4" fillId="4" borderId="5" xfId="0" applyFont="1" applyFill="1" applyBorder="1" applyAlignment="1"/>
    <xf numFmtId="0" fontId="4" fillId="4" borderId="6" xfId="0" applyFont="1" applyFill="1" applyBorder="1" applyAlignment="1"/>
    <xf numFmtId="2" fontId="4" fillId="4" borderId="5" xfId="0" applyNumberFormat="1" applyFont="1" applyFill="1" applyBorder="1" applyAlignment="1"/>
    <xf numFmtId="2" fontId="4" fillId="4" borderId="6" xfId="0" applyNumberFormat="1" applyFont="1" applyFill="1" applyBorder="1" applyAlignment="1"/>
    <xf numFmtId="1" fontId="4" fillId="4" borderId="3" xfId="0" applyNumberFormat="1" applyFont="1" applyFill="1" applyBorder="1" applyAlignment="1"/>
    <xf numFmtId="0" fontId="5" fillId="4" borderId="3" xfId="0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top"/>
    </xf>
    <xf numFmtId="182" fontId="5" fillId="4" borderId="3" xfId="0" applyNumberFormat="1" applyFont="1" applyFill="1" applyBorder="1" applyAlignment="1">
      <alignment horizontal="center" vertical="top"/>
    </xf>
    <xf numFmtId="1" fontId="5" fillId="4" borderId="3" xfId="0" applyNumberFormat="1" applyFont="1" applyFill="1" applyBorder="1" applyAlignment="1">
      <alignment horizontal="center" vertical="top"/>
    </xf>
    <xf numFmtId="0" fontId="5" fillId="4" borderId="0" xfId="0" applyFont="1" applyFill="1"/>
    <xf numFmtId="2" fontId="5" fillId="4" borderId="3" xfId="0" applyNumberFormat="1" applyFont="1" applyFill="1" applyBorder="1" applyAlignment="1">
      <alignment horizontal="center" vertical="top"/>
    </xf>
    <xf numFmtId="184" fontId="5" fillId="4" borderId="3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2" fontId="5" fillId="4" borderId="2" xfId="0" applyNumberFormat="1" applyFont="1" applyFill="1" applyBorder="1" applyAlignment="1">
      <alignment horizontal="center" vertical="top"/>
    </xf>
    <xf numFmtId="10" fontId="4" fillId="4" borderId="3" xfId="0" applyNumberFormat="1" applyFont="1" applyFill="1" applyBorder="1" applyAlignment="1">
      <alignment horizontal="center" vertical="top"/>
    </xf>
    <xf numFmtId="0" fontId="5" fillId="4" borderId="3" xfId="0" applyNumberFormat="1" applyFont="1" applyFill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top" wrapText="1"/>
    </xf>
    <xf numFmtId="184" fontId="5" fillId="4" borderId="3" xfId="0" applyNumberFormat="1" applyFont="1" applyFill="1" applyBorder="1" applyAlignment="1">
      <alignment horizontal="center" vertical="top" wrapText="1"/>
    </xf>
    <xf numFmtId="1" fontId="5" fillId="4" borderId="3" xfId="0" applyNumberFormat="1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right" vertical="center" indent="1"/>
    </xf>
    <xf numFmtId="1" fontId="8" fillId="4" borderId="3" xfId="0" applyNumberFormat="1" applyFont="1" applyFill="1" applyBorder="1" applyAlignment="1">
      <alignment horizontal="right" vertical="top"/>
    </xf>
    <xf numFmtId="2" fontId="8" fillId="4" borderId="3" xfId="0" applyNumberFormat="1" applyFont="1" applyFill="1" applyBorder="1" applyAlignment="1">
      <alignment horizontal="right" vertical="top"/>
    </xf>
    <xf numFmtId="0" fontId="8" fillId="4" borderId="3" xfId="0" applyNumberFormat="1" applyFont="1" applyFill="1" applyBorder="1" applyAlignment="1">
      <alignment horizontal="right" vertical="top"/>
    </xf>
    <xf numFmtId="182" fontId="8" fillId="4" borderId="3" xfId="0" applyNumberFormat="1" applyFont="1" applyFill="1" applyBorder="1" applyAlignment="1">
      <alignment horizontal="right" vertical="top"/>
    </xf>
    <xf numFmtId="182" fontId="8" fillId="4" borderId="3" xfId="0" applyNumberFormat="1" applyFont="1" applyFill="1" applyBorder="1" applyAlignment="1">
      <alignment horizontal="right" vertical="center" indent="1"/>
    </xf>
    <xf numFmtId="184" fontId="8" fillId="4" borderId="3" xfId="0" applyNumberFormat="1" applyFont="1" applyFill="1" applyBorder="1" applyAlignment="1">
      <alignment horizontal="right" vertical="center" indent="1"/>
    </xf>
    <xf numFmtId="2" fontId="8" fillId="4" borderId="3" xfId="0" applyNumberFormat="1" applyFont="1" applyFill="1" applyBorder="1" applyAlignment="1">
      <alignment horizontal="right" vertical="center" indent="1"/>
    </xf>
    <xf numFmtId="2" fontId="8" fillId="4" borderId="3" xfId="0" applyNumberFormat="1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/>
    </xf>
    <xf numFmtId="0" fontId="9" fillId="0" borderId="0" xfId="0" applyFont="1"/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right" vertical="center" indent="1"/>
    </xf>
    <xf numFmtId="2" fontId="5" fillId="4" borderId="3" xfId="0" applyNumberFormat="1" applyFont="1" applyFill="1" applyBorder="1" applyAlignment="1">
      <alignment horizontal="right" vertical="center" indent="1"/>
    </xf>
    <xf numFmtId="2" fontId="5" fillId="4" borderId="3" xfId="0" applyNumberFormat="1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/>
    </xf>
    <xf numFmtId="2" fontId="5" fillId="4" borderId="0" xfId="0" applyNumberFormat="1" applyFont="1" applyFill="1" applyAlignment="1">
      <alignment horizontal="left"/>
    </xf>
    <xf numFmtId="2" fontId="0" fillId="4" borderId="0" xfId="0" applyNumberFormat="1" applyFill="1"/>
    <xf numFmtId="2" fontId="11" fillId="4" borderId="0" xfId="0" applyNumberFormat="1" applyFont="1" applyFill="1" applyAlignment="1">
      <alignment vertical="center"/>
    </xf>
    <xf numFmtId="2" fontId="0" fillId="4" borderId="0" xfId="0" applyNumberFormat="1" applyFill="1" applyAlignment="1">
      <alignment horizontal="left"/>
    </xf>
    <xf numFmtId="10" fontId="4" fillId="4" borderId="6" xfId="0" applyNumberFormat="1" applyFont="1" applyFill="1" applyBorder="1" applyAlignment="1">
      <alignment horizontal="center" vertical="top"/>
    </xf>
    <xf numFmtId="184" fontId="8" fillId="4" borderId="3" xfId="0" applyNumberFormat="1" applyFont="1" applyFill="1" applyBorder="1" applyAlignment="1">
      <alignment horizontal="right" vertical="top"/>
    </xf>
    <xf numFmtId="184" fontId="5" fillId="4" borderId="3" xfId="0" applyNumberFormat="1" applyFont="1" applyFill="1" applyBorder="1" applyAlignment="1">
      <alignment horizontal="right" vertical="center" indent="1"/>
    </xf>
    <xf numFmtId="1" fontId="4" fillId="4" borderId="7" xfId="0" applyNumberFormat="1" applyFont="1" applyFill="1" applyBorder="1" applyAlignment="1"/>
    <xf numFmtId="0" fontId="4" fillId="4" borderId="0" xfId="0" applyNumberFormat="1" applyFont="1" applyFill="1" applyAlignment="1">
      <alignment horizontal="right"/>
    </xf>
    <xf numFmtId="0" fontId="5" fillId="4" borderId="0" xfId="0" applyNumberFormat="1" applyFont="1" applyFill="1" applyAlignment="1">
      <alignment horizontal="right"/>
    </xf>
    <xf numFmtId="0" fontId="5" fillId="4" borderId="3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wrapText="1"/>
    </xf>
    <xf numFmtId="10" fontId="4" fillId="4" borderId="6" xfId="0" applyNumberFormat="1" applyFont="1" applyFill="1" applyBorder="1" applyAlignment="1">
      <alignment horizontal="left"/>
    </xf>
    <xf numFmtId="10" fontId="4" fillId="4" borderId="7" xfId="0" applyNumberFormat="1" applyFont="1" applyFill="1" applyBorder="1" applyAlignment="1">
      <alignment horizontal="left"/>
    </xf>
    <xf numFmtId="0" fontId="4" fillId="4" borderId="0" xfId="0" applyNumberFormat="1" applyFont="1" applyFill="1" applyAlignment="1">
      <alignment horizontal="right"/>
    </xf>
    <xf numFmtId="0" fontId="5" fillId="4" borderId="8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/>
    </xf>
    <xf numFmtId="3" fontId="5" fillId="4" borderId="3" xfId="0" applyNumberFormat="1" applyFont="1" applyFill="1" applyBorder="1" applyAlignment="1">
      <alignment horizontal="center" vertical="center"/>
    </xf>
    <xf numFmtId="10" fontId="4" fillId="4" borderId="3" xfId="7" applyNumberFormat="1" applyFont="1" applyFill="1" applyBorder="1"/>
    <xf numFmtId="193" fontId="4" fillId="4" borderId="3" xfId="7" applyNumberFormat="1" applyFont="1" applyFill="1" applyBorder="1"/>
    <xf numFmtId="2" fontId="4" fillId="4" borderId="3" xfId="7" applyNumberFormat="1" applyFont="1" applyFill="1" applyBorder="1"/>
    <xf numFmtId="193" fontId="4" fillId="4" borderId="4" xfId="7" applyNumberFormat="1" applyFont="1" applyFill="1" applyBorder="1"/>
    <xf numFmtId="193" fontId="4" fillId="4" borderId="0" xfId="7" applyNumberFormat="1" applyFont="1" applyFill="1"/>
    <xf numFmtId="0" fontId="4" fillId="4" borderId="0" xfId="0" applyFont="1" applyFill="1" applyBorder="1" applyAlignment="1">
      <alignment horizontal="left"/>
    </xf>
    <xf numFmtId="2" fontId="5" fillId="3" borderId="10" xfId="1" applyNumberFormat="1" applyFont="1" applyFill="1" applyBorder="1" applyAlignment="1">
      <alignment horizontal="center" vertical="top"/>
    </xf>
    <xf numFmtId="0" fontId="0" fillId="3" borderId="0" xfId="0" applyFont="1" applyFill="1"/>
    <xf numFmtId="2" fontId="0" fillId="5" borderId="10" xfId="0" applyNumberFormat="1" applyFont="1" applyFill="1" applyBorder="1" applyAlignment="1">
      <alignment horizontal="center" vertical="top"/>
    </xf>
    <xf numFmtId="1" fontId="0" fillId="3" borderId="10" xfId="0" applyNumberFormat="1" applyFont="1" applyFill="1" applyBorder="1" applyAlignment="1">
      <alignment horizontal="center" vertical="top"/>
    </xf>
    <xf numFmtId="0" fontId="0" fillId="3" borderId="10" xfId="0" applyNumberFormat="1" applyFont="1" applyFill="1" applyBorder="1" applyAlignment="1">
      <alignment horizontal="center" vertical="center"/>
    </xf>
    <xf numFmtId="1" fontId="5" fillId="3" borderId="10" xfId="1" applyNumberFormat="1" applyFont="1" applyFill="1" applyBorder="1" applyAlignment="1">
      <alignment horizontal="center" vertical="center"/>
    </xf>
    <xf numFmtId="0" fontId="5" fillId="3" borderId="10" xfId="1" applyNumberFormat="1" applyFont="1" applyFill="1" applyBorder="1" applyAlignment="1">
      <alignment horizontal="center" vertical="top"/>
    </xf>
    <xf numFmtId="1" fontId="0" fillId="3" borderId="10" xfId="0" applyNumberFormat="1" applyFont="1" applyFill="1" applyBorder="1" applyAlignment="1">
      <alignment horizontal="center" vertical="center"/>
    </xf>
    <xf numFmtId="2" fontId="0" fillId="3" borderId="10" xfId="1" applyNumberFormat="1" applyFont="1" applyFill="1" applyBorder="1" applyAlignment="1">
      <alignment horizontal="center" vertical="top"/>
    </xf>
    <xf numFmtId="1" fontId="5" fillId="3" borderId="10" xfId="1" applyNumberFormat="1" applyFont="1" applyFill="1" applyBorder="1" applyAlignment="1">
      <alignment horizontal="center" vertical="top"/>
    </xf>
    <xf numFmtId="2" fontId="4" fillId="4" borderId="7" xfId="0" applyNumberFormat="1" applyFont="1" applyFill="1" applyBorder="1" applyAlignment="1"/>
    <xf numFmtId="2" fontId="5" fillId="0" borderId="0" xfId="0" applyNumberFormat="1" applyFont="1"/>
    <xf numFmtId="0" fontId="5" fillId="4" borderId="0" xfId="0" applyFont="1" applyFill="1"/>
    <xf numFmtId="2" fontId="5" fillId="4" borderId="0" xfId="0" applyNumberFormat="1" applyFont="1" applyFill="1"/>
    <xf numFmtId="2" fontId="4" fillId="4" borderId="2" xfId="0" applyNumberFormat="1" applyFont="1" applyFill="1" applyBorder="1" applyAlignment="1">
      <alignment horizontal="center" vertical="top"/>
    </xf>
    <xf numFmtId="182" fontId="4" fillId="4" borderId="2" xfId="0" applyNumberFormat="1" applyFont="1" applyFill="1" applyBorder="1" applyAlignment="1">
      <alignment horizontal="center" vertical="top"/>
    </xf>
    <xf numFmtId="182" fontId="4" fillId="4" borderId="1" xfId="0" applyNumberFormat="1" applyFont="1" applyFill="1" applyBorder="1" applyAlignment="1">
      <alignment horizontal="center" vertical="top"/>
    </xf>
    <xf numFmtId="0" fontId="5" fillId="4" borderId="3" xfId="0" applyNumberFormat="1" applyFont="1" applyFill="1" applyBorder="1" applyAlignment="1">
      <alignment horizontal="center" vertical="top"/>
    </xf>
    <xf numFmtId="182" fontId="5" fillId="4" borderId="3" xfId="0" applyNumberFormat="1" applyFont="1" applyFill="1" applyBorder="1" applyAlignment="1">
      <alignment horizontal="center" vertical="top"/>
    </xf>
    <xf numFmtId="1" fontId="5" fillId="4" borderId="3" xfId="0" applyNumberFormat="1" applyFont="1" applyFill="1" applyBorder="1" applyAlignment="1">
      <alignment horizontal="center" vertical="top"/>
    </xf>
    <xf numFmtId="2" fontId="5" fillId="4" borderId="3" xfId="0" applyNumberFormat="1" applyFont="1" applyFill="1" applyBorder="1" applyAlignment="1">
      <alignment horizontal="center" vertical="top"/>
    </xf>
    <xf numFmtId="184" fontId="5" fillId="4" borderId="3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2" fontId="5" fillId="4" borderId="2" xfId="0" applyNumberFormat="1" applyFont="1" applyFill="1" applyBorder="1" applyAlignment="1">
      <alignment horizontal="center" vertical="top"/>
    </xf>
    <xf numFmtId="185" fontId="5" fillId="4" borderId="3" xfId="0" applyNumberFormat="1" applyFont="1" applyFill="1" applyBorder="1" applyAlignment="1">
      <alignment horizontal="center" vertical="top"/>
    </xf>
    <xf numFmtId="0" fontId="5" fillId="4" borderId="3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/>
    <xf numFmtId="10" fontId="4" fillId="4" borderId="6" xfId="0" applyNumberFormat="1" applyFont="1" applyFill="1" applyBorder="1" applyAlignment="1">
      <alignment horizontal="center" vertical="top"/>
    </xf>
    <xf numFmtId="1" fontId="5" fillId="4" borderId="3" xfId="0" applyNumberFormat="1" applyFont="1" applyFill="1" applyBorder="1" applyAlignment="1">
      <alignment horizontal="center" vertical="center"/>
    </xf>
    <xf numFmtId="10" fontId="4" fillId="4" borderId="0" xfId="7" applyNumberFormat="1" applyFont="1" applyFill="1"/>
    <xf numFmtId="10" fontId="4" fillId="4" borderId="5" xfId="0" applyNumberFormat="1" applyFont="1" applyFill="1" applyBorder="1" applyAlignment="1">
      <alignment horizontal="left"/>
    </xf>
    <xf numFmtId="10" fontId="4" fillId="4" borderId="6" xfId="0" applyNumberFormat="1" applyFont="1" applyFill="1" applyBorder="1" applyAlignment="1">
      <alignment horizontal="left"/>
    </xf>
    <xf numFmtId="2" fontId="4" fillId="6" borderId="7" xfId="0" applyNumberFormat="1" applyFont="1" applyFill="1" applyBorder="1" applyAlignment="1">
      <alignment horizontal="left"/>
    </xf>
    <xf numFmtId="2" fontId="5" fillId="0" borderId="10" xfId="1" applyNumberFormat="1" applyFont="1" applyFill="1" applyBorder="1" applyAlignment="1">
      <alignment horizontal="center" vertical="top"/>
    </xf>
    <xf numFmtId="1" fontId="5" fillId="0" borderId="10" xfId="1" applyNumberFormat="1" applyFont="1" applyFill="1" applyBorder="1" applyAlignment="1">
      <alignment horizontal="center" vertical="center"/>
    </xf>
    <xf numFmtId="1" fontId="5" fillId="0" borderId="10" xfId="1" applyNumberFormat="1" applyFont="1" applyFill="1" applyBorder="1" applyAlignment="1">
      <alignment horizontal="center" vertical="top"/>
    </xf>
    <xf numFmtId="0" fontId="4" fillId="6" borderId="6" xfId="0" applyFont="1" applyFill="1" applyBorder="1" applyAlignment="1">
      <alignment horizontal="left"/>
    </xf>
    <xf numFmtId="193" fontId="4" fillId="4" borderId="6" xfId="7" applyNumberFormat="1" applyFont="1" applyFill="1" applyBorder="1"/>
    <xf numFmtId="193" fontId="4" fillId="4" borderId="7" xfId="7" applyNumberFormat="1" applyFont="1" applyFill="1" applyBorder="1"/>
    <xf numFmtId="2" fontId="4" fillId="6" borderId="0" xfId="0" applyNumberFormat="1" applyFont="1" applyFill="1" applyBorder="1" applyAlignment="1">
      <alignment horizontal="left"/>
    </xf>
    <xf numFmtId="193" fontId="4" fillId="4" borderId="6" xfId="0" applyNumberFormat="1" applyFont="1" applyFill="1" applyBorder="1" applyAlignment="1">
      <alignment horizontal="center" vertical="top"/>
    </xf>
    <xf numFmtId="193" fontId="4" fillId="4" borderId="7" xfId="0" applyNumberFormat="1" applyFont="1" applyFill="1" applyBorder="1" applyAlignment="1">
      <alignment horizontal="center" vertical="top"/>
    </xf>
    <xf numFmtId="2" fontId="4" fillId="4" borderId="6" xfId="0" applyNumberFormat="1" applyFont="1" applyFill="1" applyBorder="1" applyAlignment="1">
      <alignment horizontal="left"/>
    </xf>
    <xf numFmtId="2" fontId="4" fillId="6" borderId="6" xfId="0" applyNumberFormat="1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top" wrapText="1"/>
    </xf>
    <xf numFmtId="10" fontId="4" fillId="4" borderId="5" xfId="0" applyNumberFormat="1" applyFont="1" applyFill="1" applyBorder="1" applyAlignment="1">
      <alignment horizontal="left"/>
    </xf>
    <xf numFmtId="10" fontId="4" fillId="4" borderId="6" xfId="0" applyNumberFormat="1" applyFont="1" applyFill="1" applyBorder="1" applyAlignment="1">
      <alignment horizontal="left"/>
    </xf>
    <xf numFmtId="10" fontId="4" fillId="4" borderId="7" xfId="0" applyNumberFormat="1" applyFont="1" applyFill="1" applyBorder="1" applyAlignment="1">
      <alignment horizontal="left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9" xfId="0" applyNumberFormat="1" applyFont="1" applyFill="1" applyBorder="1" applyAlignment="1">
      <alignment horizontal="center" vertical="center" wrapText="1"/>
    </xf>
    <xf numFmtId="1" fontId="5" fillId="2" borderId="3" xfId="1" applyNumberFormat="1" applyFont="1" applyFill="1" applyBorder="1" applyAlignment="1">
      <alignment horizontal="center" vertical="center"/>
    </xf>
    <xf numFmtId="2" fontId="5" fillId="2" borderId="3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182" fontId="5" fillId="2" borderId="3" xfId="1" applyNumberFormat="1" applyFont="1" applyFill="1" applyBorder="1" applyAlignment="1">
      <alignment horizontal="center" vertical="center"/>
    </xf>
    <xf numFmtId="184" fontId="5" fillId="2" borderId="3" xfId="1" applyNumberFormat="1" applyFont="1" applyFill="1" applyBorder="1" applyAlignment="1">
      <alignment horizontal="center" vertical="center"/>
    </xf>
    <xf numFmtId="1" fontId="13" fillId="2" borderId="3" xfId="1" applyNumberFormat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top"/>
    </xf>
    <xf numFmtId="2" fontId="5" fillId="2" borderId="3" xfId="1" applyNumberFormat="1" applyFont="1" applyFill="1" applyBorder="1" applyAlignment="1">
      <alignment horizontal="center" vertical="top"/>
    </xf>
    <xf numFmtId="0" fontId="5" fillId="2" borderId="3" xfId="1" applyNumberFormat="1" applyFont="1" applyFill="1" applyBorder="1" applyAlignment="1">
      <alignment horizontal="center" vertical="top"/>
    </xf>
    <xf numFmtId="182" fontId="5" fillId="2" borderId="3" xfId="1" applyNumberFormat="1" applyFont="1" applyFill="1" applyBorder="1" applyAlignment="1">
      <alignment horizontal="center" vertical="top"/>
    </xf>
    <xf numFmtId="184" fontId="5" fillId="2" borderId="3" xfId="1" applyNumberFormat="1" applyFont="1" applyFill="1" applyBorder="1" applyAlignment="1">
      <alignment horizontal="center" vertical="top"/>
    </xf>
    <xf numFmtId="1" fontId="8" fillId="4" borderId="3" xfId="0" applyNumberFormat="1" applyFont="1" applyFill="1" applyBorder="1" applyAlignment="1">
      <alignment horizontal="center" vertical="top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2" fontId="5" fillId="4" borderId="3" xfId="0" applyNumberFormat="1" applyFont="1" applyFill="1" applyBorder="1" applyAlignment="1">
      <alignment horizontal="center" vertical="top" wrapText="1"/>
    </xf>
    <xf numFmtId="1" fontId="5" fillId="4" borderId="3" xfId="0" applyNumberFormat="1" applyFont="1" applyFill="1" applyBorder="1" applyAlignment="1">
      <alignment horizontal="center" vertical="center"/>
    </xf>
    <xf numFmtId="184" fontId="0" fillId="3" borderId="10" xfId="0" applyNumberFormat="1" applyFont="1" applyFill="1" applyBorder="1" applyAlignment="1">
      <alignment horizontal="center" vertical="top"/>
    </xf>
    <xf numFmtId="0" fontId="0" fillId="3" borderId="10" xfId="0" applyNumberFormat="1" applyFont="1" applyFill="1" applyBorder="1" applyAlignment="1">
      <alignment horizontal="center" vertical="top"/>
    </xf>
    <xf numFmtId="182" fontId="0" fillId="3" borderId="10" xfId="0" applyNumberFormat="1" applyFont="1" applyFill="1" applyBorder="1" applyAlignment="1">
      <alignment horizontal="center" vertical="top"/>
    </xf>
    <xf numFmtId="0" fontId="0" fillId="0" borderId="0" xfId="0" applyFont="1"/>
    <xf numFmtId="0" fontId="0" fillId="3" borderId="10" xfId="1" applyNumberFormat="1" applyFont="1" applyFill="1" applyBorder="1" applyAlignment="1">
      <alignment horizontal="center" vertical="center"/>
    </xf>
    <xf numFmtId="1" fontId="0" fillId="3" borderId="10" xfId="1" applyNumberFormat="1" applyFont="1" applyFill="1" applyBorder="1" applyAlignment="1">
      <alignment horizontal="center" vertical="top"/>
    </xf>
    <xf numFmtId="1" fontId="0" fillId="3" borderId="10" xfId="1" applyNumberFormat="1" applyFont="1" applyFill="1" applyBorder="1" applyAlignment="1">
      <alignment horizontal="center" vertical="center"/>
    </xf>
    <xf numFmtId="0" fontId="0" fillId="3" borderId="10" xfId="1" applyNumberFormat="1" applyFont="1" applyFill="1" applyBorder="1" applyAlignment="1">
      <alignment horizontal="center" vertical="top"/>
    </xf>
    <xf numFmtId="2" fontId="4" fillId="3" borderId="11" xfId="0" applyNumberFormat="1" applyFont="1" applyFill="1" applyBorder="1" applyAlignment="1"/>
    <xf numFmtId="2" fontId="0" fillId="3" borderId="10" xfId="1" applyNumberFormat="1" applyFont="1" applyFill="1" applyBorder="1" applyAlignment="1">
      <alignment horizontal="center" vertical="center"/>
    </xf>
    <xf numFmtId="0" fontId="5" fillId="3" borderId="10" xfId="1" applyNumberFormat="1" applyFont="1" applyFill="1" applyBorder="1" applyAlignment="1">
      <alignment horizontal="center" vertical="center"/>
    </xf>
    <xf numFmtId="184" fontId="4" fillId="4" borderId="3" xfId="0" applyNumberFormat="1" applyFont="1" applyFill="1" applyBorder="1" applyAlignment="1"/>
    <xf numFmtId="2" fontId="4" fillId="3" borderId="12" xfId="0" applyNumberFormat="1" applyFont="1" applyFill="1" applyBorder="1" applyAlignment="1"/>
    <xf numFmtId="3" fontId="0" fillId="3" borderId="10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0" fontId="4" fillId="4" borderId="5" xfId="0" applyNumberFormat="1" applyFont="1" applyFill="1" applyBorder="1" applyAlignment="1">
      <alignment horizontal="left"/>
    </xf>
    <xf numFmtId="10" fontId="4" fillId="4" borderId="6" xfId="0" applyNumberFormat="1" applyFont="1" applyFill="1" applyBorder="1" applyAlignment="1">
      <alignment horizontal="left"/>
    </xf>
    <xf numFmtId="10" fontId="4" fillId="4" borderId="7" xfId="0" applyNumberFormat="1" applyFont="1" applyFill="1" applyBorder="1" applyAlignment="1">
      <alignment horizontal="left"/>
    </xf>
    <xf numFmtId="1" fontId="5" fillId="4" borderId="3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wrapText="1"/>
    </xf>
    <xf numFmtId="0" fontId="3" fillId="4" borderId="0" xfId="0" applyNumberFormat="1" applyFont="1" applyFill="1" applyAlignment="1">
      <alignment horizontal="center"/>
    </xf>
    <xf numFmtId="2" fontId="5" fillId="4" borderId="3" xfId="0" applyNumberFormat="1" applyFont="1" applyFill="1" applyBorder="1" applyAlignment="1">
      <alignment horizontal="center" vertical="top" wrapText="1"/>
    </xf>
    <xf numFmtId="0" fontId="5" fillId="4" borderId="5" xfId="0" applyNumberFormat="1" applyFont="1" applyFill="1" applyBorder="1" applyAlignment="1">
      <alignment horizontal="left" vertical="center" wrapText="1"/>
    </xf>
    <xf numFmtId="0" fontId="5" fillId="4" borderId="7" xfId="0" applyNumberFormat="1" applyFont="1" applyFill="1" applyBorder="1" applyAlignment="1">
      <alignment horizontal="left" vertical="center" wrapText="1"/>
    </xf>
    <xf numFmtId="0" fontId="0" fillId="3" borderId="10" xfId="1" applyNumberFormat="1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indent="1"/>
    </xf>
    <xf numFmtId="0" fontId="4" fillId="4" borderId="20" xfId="0" applyFont="1" applyFill="1" applyBorder="1" applyAlignment="1">
      <alignment horizontal="left" indent="1"/>
    </xf>
    <xf numFmtId="0" fontId="4" fillId="4" borderId="19" xfId="0" applyFont="1" applyFill="1" applyBorder="1" applyAlignment="1">
      <alignment horizontal="left" indent="1"/>
    </xf>
    <xf numFmtId="0" fontId="0" fillId="3" borderId="21" xfId="1" applyNumberFormat="1" applyFont="1" applyFill="1" applyBorder="1" applyAlignment="1">
      <alignment horizontal="left" vertical="center" wrapText="1"/>
    </xf>
    <xf numFmtId="0" fontId="0" fillId="3" borderId="22" xfId="1" applyNumberFormat="1" applyFont="1" applyFill="1" applyBorder="1" applyAlignment="1">
      <alignment horizontal="left" vertical="center" wrapText="1"/>
    </xf>
    <xf numFmtId="10" fontId="4" fillId="4" borderId="5" xfId="0" applyNumberFormat="1" applyFont="1" applyFill="1" applyBorder="1" applyAlignment="1">
      <alignment horizontal="left"/>
    </xf>
    <xf numFmtId="10" fontId="4" fillId="4" borderId="6" xfId="0" applyNumberFormat="1" applyFont="1" applyFill="1" applyBorder="1" applyAlignment="1">
      <alignment horizontal="left"/>
    </xf>
    <xf numFmtId="10" fontId="4" fillId="4" borderId="7" xfId="0" applyNumberFormat="1" applyFont="1" applyFill="1" applyBorder="1" applyAlignment="1">
      <alignment horizontal="left"/>
    </xf>
    <xf numFmtId="0" fontId="4" fillId="4" borderId="5" xfId="0" applyFont="1" applyFill="1" applyBorder="1" applyAlignment="1">
      <alignment horizontal="left" indent="1"/>
    </xf>
    <xf numFmtId="0" fontId="4" fillId="4" borderId="6" xfId="0" applyFont="1" applyFill="1" applyBorder="1" applyAlignment="1">
      <alignment horizontal="left" indent="1"/>
    </xf>
    <xf numFmtId="0" fontId="4" fillId="4" borderId="7" xfId="0" applyFont="1" applyFill="1" applyBorder="1" applyAlignment="1">
      <alignment horizontal="left" indent="1"/>
    </xf>
    <xf numFmtId="2" fontId="4" fillId="4" borderId="5" xfId="0" applyNumberFormat="1" applyFont="1" applyFill="1" applyBorder="1" applyAlignment="1">
      <alignment horizontal="left" indent="1"/>
    </xf>
    <xf numFmtId="2" fontId="4" fillId="4" borderId="6" xfId="0" applyNumberFormat="1" applyFont="1" applyFill="1" applyBorder="1" applyAlignment="1">
      <alignment horizontal="left" indent="1"/>
    </xf>
    <xf numFmtId="2" fontId="4" fillId="4" borderId="7" xfId="0" applyNumberFormat="1" applyFont="1" applyFill="1" applyBorder="1" applyAlignment="1">
      <alignment horizontal="left" indent="1"/>
    </xf>
    <xf numFmtId="0" fontId="5" fillId="4" borderId="0" xfId="0" applyNumberFormat="1" applyFont="1" applyFill="1" applyAlignment="1">
      <alignment horizontal="center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4" borderId="8" xfId="0" applyNumberFormat="1" applyFont="1" applyFill="1" applyBorder="1" applyAlignment="1">
      <alignment horizontal="center" vertical="center" wrapText="1"/>
    </xf>
    <xf numFmtId="0" fontId="5" fillId="4" borderId="9" xfId="0" applyNumberFormat="1" applyFont="1" applyFill="1" applyBorder="1" applyAlignment="1">
      <alignment horizontal="center" vertical="center" wrapText="1"/>
    </xf>
    <xf numFmtId="0" fontId="5" fillId="4" borderId="15" xfId="0" applyNumberFormat="1" applyFont="1" applyFill="1" applyBorder="1" applyAlignment="1">
      <alignment horizontal="center" vertical="center" wrapText="1"/>
    </xf>
    <xf numFmtId="0" fontId="5" fillId="4" borderId="16" xfId="0" applyNumberFormat="1" applyFont="1" applyFill="1" applyBorder="1" applyAlignment="1">
      <alignment horizontal="center" vertical="center" wrapText="1"/>
    </xf>
    <xf numFmtId="0" fontId="5" fillId="4" borderId="17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Alignment="1">
      <alignment horizontal="right"/>
    </xf>
    <xf numFmtId="0" fontId="5" fillId="4" borderId="5" xfId="0" applyNumberFormat="1" applyFont="1" applyFill="1" applyBorder="1" applyAlignment="1">
      <alignment horizontal="center" vertical="center" wrapText="1"/>
    </xf>
    <xf numFmtId="0" fontId="5" fillId="4" borderId="6" xfId="0" applyNumberFormat="1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5" fillId="4" borderId="5" xfId="1" applyNumberFormat="1" applyFont="1" applyFill="1" applyBorder="1" applyAlignment="1">
      <alignment horizontal="left" vertical="center" wrapText="1"/>
    </xf>
    <xf numFmtId="0" fontId="5" fillId="2" borderId="7" xfId="1" applyNumberFormat="1" applyFont="1" applyFill="1" applyBorder="1" applyAlignment="1">
      <alignment horizontal="left" vertical="center" wrapText="1"/>
    </xf>
    <xf numFmtId="0" fontId="0" fillId="3" borderId="10" xfId="0" applyNumberFormat="1" applyFont="1" applyFill="1" applyBorder="1" applyAlignment="1">
      <alignment horizontal="left" vertical="center" wrapText="1"/>
    </xf>
    <xf numFmtId="2" fontId="0" fillId="3" borderId="14" xfId="0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center"/>
    </xf>
    <xf numFmtId="0" fontId="4" fillId="4" borderId="13" xfId="0" applyNumberFormat="1" applyFont="1" applyFill="1" applyBorder="1" applyAlignment="1">
      <alignment horizontal="right"/>
    </xf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0" xfId="0" applyNumberFormat="1" applyFont="1" applyFill="1" applyAlignment="1">
      <alignment horizontal="left"/>
    </xf>
    <xf numFmtId="0" fontId="5" fillId="4" borderId="0" xfId="0" applyNumberFormat="1" applyFont="1" applyFill="1" applyAlignment="1">
      <alignment horizontal="right"/>
    </xf>
    <xf numFmtId="0" fontId="5" fillId="3" borderId="10" xfId="1" applyNumberFormat="1" applyFont="1" applyFill="1" applyBorder="1" applyAlignment="1">
      <alignment horizontal="left" vertical="center" wrapText="1"/>
    </xf>
    <xf numFmtId="0" fontId="5" fillId="4" borderId="18" xfId="0" applyNumberFormat="1" applyFont="1" applyFill="1" applyBorder="1" applyAlignment="1">
      <alignment horizontal="left" vertical="center" wrapText="1"/>
    </xf>
    <xf numFmtId="0" fontId="5" fillId="4" borderId="19" xfId="0" applyNumberFormat="1" applyFont="1" applyFill="1" applyBorder="1" applyAlignment="1">
      <alignment horizontal="left" vertical="center" wrapText="1"/>
    </xf>
    <xf numFmtId="0" fontId="5" fillId="0" borderId="10" xfId="1" applyNumberFormat="1" applyFont="1" applyFill="1" applyBorder="1" applyAlignment="1">
      <alignment horizontal="left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left" vertical="center" wrapText="1"/>
    </xf>
    <xf numFmtId="2" fontId="5" fillId="4" borderId="7" xfId="0" applyNumberFormat="1" applyFont="1" applyFill="1" applyBorder="1" applyAlignment="1">
      <alignment horizontal="left" vertical="center" wrapText="1"/>
    </xf>
    <xf numFmtId="0" fontId="0" fillId="3" borderId="14" xfId="0" applyNumberFormat="1" applyFont="1" applyFill="1" applyBorder="1" applyAlignment="1">
      <alignment horizontal="left" vertical="center" wrapText="1"/>
    </xf>
    <xf numFmtId="0" fontId="0" fillId="3" borderId="11" xfId="0" applyNumberFormat="1" applyFont="1" applyFill="1" applyBorder="1" applyAlignment="1">
      <alignment horizontal="left" vertical="center" wrapText="1"/>
    </xf>
    <xf numFmtId="0" fontId="5" fillId="2" borderId="6" xfId="1" applyNumberFormat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indent="1"/>
    </xf>
    <xf numFmtId="0" fontId="5" fillId="3" borderId="14" xfId="1" applyNumberFormat="1" applyFont="1" applyFill="1" applyBorder="1" applyAlignment="1">
      <alignment horizontal="left" vertical="center" wrapText="1"/>
    </xf>
    <xf numFmtId="0" fontId="5" fillId="3" borderId="11" xfId="1" applyNumberFormat="1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5" fillId="4" borderId="2" xfId="0" applyNumberFormat="1" applyFont="1" applyFill="1" applyBorder="1" applyAlignment="1">
      <alignment horizontal="center" wrapText="1"/>
    </xf>
    <xf numFmtId="0" fontId="5" fillId="4" borderId="8" xfId="0" applyNumberFormat="1" applyFont="1" applyFill="1" applyBorder="1" applyAlignment="1">
      <alignment horizontal="center" wrapText="1"/>
    </xf>
    <xf numFmtId="0" fontId="3" fillId="4" borderId="0" xfId="0" applyNumberFormat="1" applyFont="1" applyFill="1" applyAlignment="1">
      <alignment horizontal="center"/>
    </xf>
    <xf numFmtId="0" fontId="4" fillId="4" borderId="4" xfId="0" applyNumberFormat="1" applyFont="1" applyFill="1" applyBorder="1" applyAlignment="1">
      <alignment horizontal="center" wrapText="1"/>
    </xf>
    <xf numFmtId="0" fontId="4" fillId="4" borderId="2" xfId="0" applyNumberFormat="1" applyFont="1" applyFill="1" applyBorder="1" applyAlignment="1">
      <alignment horizontal="center" wrapText="1"/>
    </xf>
    <xf numFmtId="0" fontId="4" fillId="4" borderId="8" xfId="0" applyNumberFormat="1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10" fillId="4" borderId="0" xfId="0" applyFont="1" applyFill="1" applyAlignment="1">
      <alignment horizontal="left" vertical="center" wrapText="1"/>
    </xf>
    <xf numFmtId="2" fontId="0" fillId="3" borderId="10" xfId="1" applyNumberFormat="1" applyFont="1" applyFill="1" applyBorder="1" applyAlignment="1">
      <alignment horizontal="left" vertical="center" wrapText="1"/>
    </xf>
  </cellXfs>
  <cellStyles count="12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Процентный" xfId="7" builtinId="5"/>
    <cellStyle name="Процентный 2" xfId="8"/>
    <cellStyle name="Процентный 3" xfId="9"/>
    <cellStyle name="Процентный 4" xfId="10"/>
    <cellStyle name="Процентный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Y359"/>
  <sheetViews>
    <sheetView tabSelected="1" view="pageBreakPreview" topLeftCell="A336" zoomScale="80" zoomScaleNormal="80" zoomScaleSheetLayoutView="80" workbookViewId="0">
      <selection activeCell="F343" sqref="F343"/>
    </sheetView>
  </sheetViews>
  <sheetFormatPr defaultRowHeight="11.25" x14ac:dyDescent="0.2"/>
  <cols>
    <col min="1" max="1" width="9.5" style="56" customWidth="1"/>
    <col min="2" max="2" width="16.33203125" style="56" customWidth="1"/>
    <col min="3" max="3" width="25.1640625" style="56" customWidth="1"/>
    <col min="4" max="4" width="8" style="5" customWidth="1"/>
    <col min="5" max="5" width="9.6640625" style="5" customWidth="1"/>
    <col min="6" max="6" width="9.83203125" style="105" customWidth="1"/>
    <col min="7" max="7" width="9.6640625" style="5" customWidth="1"/>
    <col min="8" max="8" width="8.5" style="5" customWidth="1"/>
    <col min="9" max="9" width="10" style="5" customWidth="1"/>
    <col min="10" max="10" width="9" style="5" customWidth="1"/>
    <col min="11" max="11" width="9.83203125" style="5" customWidth="1"/>
    <col min="12" max="12" width="8.83203125" style="5" customWidth="1"/>
    <col min="13" max="13" width="10.33203125" style="5" customWidth="1"/>
    <col min="14" max="14" width="9.5" style="5" customWidth="1"/>
    <col min="15" max="15" width="9.33203125" style="5" customWidth="1"/>
    <col min="16" max="17" width="9.1640625" style="5" customWidth="1"/>
    <col min="18" max="18" width="9" style="5" customWidth="1"/>
    <col min="19" max="19" width="9.5" style="5" customWidth="1"/>
    <col min="20" max="20" width="8.6640625" style="5" customWidth="1"/>
    <col min="21" max="21" width="9.1640625" style="18" customWidth="1"/>
    <col min="22" max="23" width="9.1640625" style="27" customWidth="1"/>
    <col min="24" max="24" width="11.6640625" style="27" customWidth="1"/>
  </cols>
  <sheetData>
    <row r="1" spans="1:24" s="1" customFormat="1" ht="11.25" customHeight="1" x14ac:dyDescent="0.2">
      <c r="A1" s="57"/>
      <c r="B1" s="54"/>
      <c r="C1" s="54"/>
      <c r="D1" s="71"/>
      <c r="E1" s="71"/>
      <c r="F1" s="34"/>
      <c r="G1" s="71"/>
      <c r="H1" s="71"/>
      <c r="I1" s="71"/>
      <c r="J1" s="71"/>
      <c r="K1" s="71"/>
      <c r="L1" s="2"/>
      <c r="M1" s="265" t="s">
        <v>65</v>
      </c>
      <c r="N1" s="265"/>
      <c r="O1" s="265"/>
      <c r="P1" s="265"/>
      <c r="Q1" s="265"/>
      <c r="R1" s="265"/>
      <c r="S1" s="265"/>
      <c r="T1" s="265"/>
      <c r="U1" s="285"/>
      <c r="V1" s="282"/>
      <c r="W1" s="114"/>
      <c r="X1" s="282"/>
    </row>
    <row r="2" spans="1:24" s="1" customFormat="1" ht="15.75" customHeight="1" x14ac:dyDescent="0.25">
      <c r="A2" s="284" t="s">
        <v>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6"/>
      <c r="V2" s="282"/>
      <c r="W2" s="114"/>
      <c r="X2" s="282"/>
    </row>
    <row r="3" spans="1:24" s="1" customFormat="1" ht="15.75" customHeight="1" x14ac:dyDescent="0.25">
      <c r="A3" s="221"/>
      <c r="B3" s="221"/>
      <c r="C3" s="221"/>
      <c r="D3" s="221"/>
      <c r="E3" s="221"/>
      <c r="F3" s="221"/>
      <c r="G3" s="221"/>
      <c r="H3" s="221" t="s">
        <v>122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86"/>
      <c r="V3" s="282"/>
      <c r="W3" s="220"/>
      <c r="X3" s="282"/>
    </row>
    <row r="4" spans="1:24" s="1" customFormat="1" ht="11.25" customHeight="1" x14ac:dyDescent="0.2">
      <c r="A4" s="58" t="s">
        <v>55</v>
      </c>
      <c r="B4" s="54"/>
      <c r="C4" s="54"/>
      <c r="D4" s="2"/>
      <c r="E4" s="2"/>
      <c r="F4" s="34"/>
      <c r="G4" s="240" t="s">
        <v>1</v>
      </c>
      <c r="H4" s="240"/>
      <c r="I4" s="240"/>
      <c r="J4" s="71"/>
      <c r="K4" s="71"/>
      <c r="L4" s="247" t="s">
        <v>2</v>
      </c>
      <c r="M4" s="247"/>
      <c r="N4" s="259"/>
      <c r="O4" s="259"/>
      <c r="P4" s="259"/>
      <c r="Q4" s="259"/>
      <c r="R4" s="71"/>
      <c r="S4" s="71"/>
      <c r="T4" s="71"/>
      <c r="U4" s="286"/>
      <c r="V4" s="282"/>
      <c r="W4" s="114"/>
      <c r="X4" s="282"/>
    </row>
    <row r="5" spans="1:24" s="1" customFormat="1" ht="11.25" customHeight="1" x14ac:dyDescent="0.2">
      <c r="A5" s="54"/>
      <c r="B5" s="54"/>
      <c r="C5" s="54"/>
      <c r="D5" s="247" t="s">
        <v>3</v>
      </c>
      <c r="E5" s="247"/>
      <c r="F5" s="247"/>
      <c r="G5" s="7">
        <v>1</v>
      </c>
      <c r="H5" s="71"/>
      <c r="I5" s="2"/>
      <c r="J5" s="2"/>
      <c r="K5" s="2"/>
      <c r="L5" s="247" t="s">
        <v>4</v>
      </c>
      <c r="M5" s="247"/>
      <c r="N5" s="240" t="s">
        <v>121</v>
      </c>
      <c r="O5" s="240"/>
      <c r="P5" s="240"/>
      <c r="Q5" s="240"/>
      <c r="R5" s="240"/>
      <c r="S5" s="240"/>
      <c r="T5" s="240"/>
      <c r="U5" s="287"/>
      <c r="V5" s="283"/>
      <c r="W5" s="114"/>
      <c r="X5" s="282"/>
    </row>
    <row r="6" spans="1:24" s="1" customFormat="1" ht="21.75" customHeight="1" x14ac:dyDescent="0.2">
      <c r="A6" s="241" t="s">
        <v>5</v>
      </c>
      <c r="B6" s="243" t="s">
        <v>6</v>
      </c>
      <c r="C6" s="244"/>
      <c r="D6" s="241" t="s">
        <v>7</v>
      </c>
      <c r="E6" s="183"/>
      <c r="F6" s="248" t="s">
        <v>8</v>
      </c>
      <c r="G6" s="249"/>
      <c r="H6" s="250"/>
      <c r="I6" s="241" t="s">
        <v>9</v>
      </c>
      <c r="J6" s="248" t="s">
        <v>10</v>
      </c>
      <c r="K6" s="249"/>
      <c r="L6" s="249"/>
      <c r="M6" s="249"/>
      <c r="N6" s="250"/>
      <c r="O6" s="248" t="s">
        <v>11</v>
      </c>
      <c r="P6" s="249"/>
      <c r="Q6" s="249"/>
      <c r="R6" s="249"/>
      <c r="S6" s="249"/>
      <c r="T6" s="250"/>
      <c r="U6" s="9"/>
      <c r="V6" s="22"/>
      <c r="W6" s="22"/>
      <c r="X6" s="22"/>
    </row>
    <row r="7" spans="1:24" s="1" customFormat="1" ht="21" customHeight="1" x14ac:dyDescent="0.2">
      <c r="A7" s="242"/>
      <c r="B7" s="245"/>
      <c r="C7" s="246"/>
      <c r="D7" s="242"/>
      <c r="E7" s="176"/>
      <c r="F7" s="100" t="s">
        <v>12</v>
      </c>
      <c r="G7" s="177" t="s">
        <v>13</v>
      </c>
      <c r="H7" s="177" t="s">
        <v>14</v>
      </c>
      <c r="I7" s="242"/>
      <c r="J7" s="177" t="s">
        <v>15</v>
      </c>
      <c r="K7" s="177" t="s">
        <v>57</v>
      </c>
      <c r="L7" s="177" t="s">
        <v>16</v>
      </c>
      <c r="M7" s="177" t="s">
        <v>17</v>
      </c>
      <c r="N7" s="177" t="s">
        <v>18</v>
      </c>
      <c r="O7" s="177" t="s">
        <v>19</v>
      </c>
      <c r="P7" s="177" t="s">
        <v>20</v>
      </c>
      <c r="Q7" s="177" t="s">
        <v>58</v>
      </c>
      <c r="R7" s="177" t="s">
        <v>59</v>
      </c>
      <c r="S7" s="177" t="s">
        <v>21</v>
      </c>
      <c r="T7" s="177" t="s">
        <v>22</v>
      </c>
      <c r="U7" s="9"/>
      <c r="V7" s="22"/>
      <c r="W7" s="22"/>
      <c r="X7" s="22"/>
    </row>
    <row r="8" spans="1:24" s="1" customFormat="1" ht="11.25" customHeight="1" x14ac:dyDescent="0.2">
      <c r="A8" s="182">
        <v>1</v>
      </c>
      <c r="B8" s="256">
        <v>2</v>
      </c>
      <c r="C8" s="257"/>
      <c r="D8" s="37">
        <v>3</v>
      </c>
      <c r="E8" s="37"/>
      <c r="F8" s="101">
        <v>4</v>
      </c>
      <c r="G8" s="37">
        <v>5</v>
      </c>
      <c r="H8" s="37">
        <v>6</v>
      </c>
      <c r="I8" s="37">
        <v>7</v>
      </c>
      <c r="J8" s="37">
        <v>8</v>
      </c>
      <c r="K8" s="37">
        <v>9</v>
      </c>
      <c r="L8" s="37">
        <v>10</v>
      </c>
      <c r="M8" s="37">
        <v>11</v>
      </c>
      <c r="N8" s="37">
        <v>12</v>
      </c>
      <c r="O8" s="37">
        <v>13</v>
      </c>
      <c r="P8" s="37">
        <v>14</v>
      </c>
      <c r="Q8" s="37">
        <v>15</v>
      </c>
      <c r="R8" s="37">
        <v>16</v>
      </c>
      <c r="S8" s="37">
        <v>17</v>
      </c>
      <c r="T8" s="37">
        <v>18</v>
      </c>
      <c r="U8" s="10"/>
      <c r="V8" s="23"/>
      <c r="W8" s="23"/>
      <c r="X8" s="23"/>
    </row>
    <row r="9" spans="1:24" s="1" customFormat="1" ht="11.25" customHeight="1" x14ac:dyDescent="0.2">
      <c r="A9" s="234" t="s">
        <v>23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6"/>
      <c r="U9" s="11"/>
      <c r="V9" s="24"/>
      <c r="W9" s="24"/>
      <c r="X9" s="24"/>
    </row>
    <row r="10" spans="1:24" s="140" customFormat="1" ht="20.25" customHeight="1" x14ac:dyDescent="0.2">
      <c r="A10" s="67">
        <v>71</v>
      </c>
      <c r="B10" s="223" t="s">
        <v>64</v>
      </c>
      <c r="C10" s="224"/>
      <c r="D10" s="79">
        <v>40</v>
      </c>
      <c r="E10" s="79">
        <v>9.24</v>
      </c>
      <c r="F10" s="178">
        <f>0.5*D10/60</f>
        <v>0.33333333333333331</v>
      </c>
      <c r="G10" s="178">
        <f>0.03*D10/30</f>
        <v>0.04</v>
      </c>
      <c r="H10" s="178">
        <f>1.7*D10/60</f>
        <v>1.1333333333333333</v>
      </c>
      <c r="I10" s="178">
        <f>F10*4+G10*9+H10*4</f>
        <v>6.2266666666666666</v>
      </c>
      <c r="J10" s="80">
        <v>8.9999999999999993E-3</v>
      </c>
      <c r="K10" s="178">
        <v>0.01</v>
      </c>
      <c r="L10" s="81">
        <v>3</v>
      </c>
      <c r="M10" s="80">
        <v>3.0000000000000001E-3</v>
      </c>
      <c r="N10" s="79">
        <v>0.03</v>
      </c>
      <c r="O10" s="178">
        <v>6.9</v>
      </c>
      <c r="P10" s="178">
        <v>12.6</v>
      </c>
      <c r="Q10" s="80">
        <v>6.4000000000000001E-2</v>
      </c>
      <c r="R10" s="80">
        <v>1E-3</v>
      </c>
      <c r="S10" s="178">
        <v>4.2</v>
      </c>
      <c r="T10" s="178">
        <v>0.18</v>
      </c>
      <c r="U10" s="32"/>
      <c r="V10" s="33"/>
      <c r="W10" s="33"/>
      <c r="X10" s="33"/>
    </row>
    <row r="11" spans="1:24" s="140" customFormat="1" ht="22.5" customHeight="1" x14ac:dyDescent="0.2">
      <c r="A11" s="133">
        <v>591</v>
      </c>
      <c r="B11" s="278" t="s">
        <v>108</v>
      </c>
      <c r="C11" s="279"/>
      <c r="D11" s="134">
        <v>120</v>
      </c>
      <c r="E11" s="128">
        <v>45.68</v>
      </c>
      <c r="F11" s="128">
        <v>5.86</v>
      </c>
      <c r="G11" s="128">
        <v>16.309999999999999</v>
      </c>
      <c r="H11" s="128">
        <v>3.07</v>
      </c>
      <c r="I11" s="128">
        <v>182.51</v>
      </c>
      <c r="J11" s="128">
        <v>0.14000000000000001</v>
      </c>
      <c r="K11" s="128">
        <v>0.05</v>
      </c>
      <c r="L11" s="128">
        <v>0.09</v>
      </c>
      <c r="M11" s="128">
        <v>0</v>
      </c>
      <c r="N11" s="128">
        <v>0</v>
      </c>
      <c r="O11" s="128">
        <v>9.5399999999999991</v>
      </c>
      <c r="P11" s="128">
        <v>63.38</v>
      </c>
      <c r="Q11" s="128">
        <v>1.1200000000000001</v>
      </c>
      <c r="R11" s="128">
        <v>2.5499999999999998</v>
      </c>
      <c r="S11" s="128">
        <v>11.3</v>
      </c>
      <c r="T11" s="128">
        <v>0.75</v>
      </c>
      <c r="U11" s="150"/>
      <c r="V11" s="151"/>
      <c r="W11" s="151"/>
      <c r="X11" s="151"/>
    </row>
    <row r="12" spans="1:24" s="140" customFormat="1" ht="24" customHeight="1" x14ac:dyDescent="0.2">
      <c r="A12" s="182">
        <v>203</v>
      </c>
      <c r="B12" s="223" t="s">
        <v>79</v>
      </c>
      <c r="C12" s="224"/>
      <c r="D12" s="147">
        <v>180</v>
      </c>
      <c r="E12" s="148">
        <v>8.3699999999999992</v>
      </c>
      <c r="F12" s="148">
        <f>5.7*D12/150</f>
        <v>6.84</v>
      </c>
      <c r="G12" s="148">
        <f>3.43*D12/150</f>
        <v>4.1159999999999997</v>
      </c>
      <c r="H12" s="148">
        <f>36.45*D12/150</f>
        <v>43.740000000000009</v>
      </c>
      <c r="I12" s="148">
        <f>F12*4+G12*9+H12*4</f>
        <v>239.36400000000003</v>
      </c>
      <c r="J12" s="148">
        <f>0.09*D12/150</f>
        <v>0.108</v>
      </c>
      <c r="K12" s="148">
        <f>0.03*D12/150</f>
        <v>3.5999999999999997E-2</v>
      </c>
      <c r="L12" s="148">
        <v>0</v>
      </c>
      <c r="M12" s="149">
        <f>0.03*D12/150</f>
        <v>3.5999999999999997E-2</v>
      </c>
      <c r="N12" s="148">
        <f>1.25*D12/150</f>
        <v>1.5</v>
      </c>
      <c r="O12" s="148">
        <f>13.28*D12/150</f>
        <v>15.936</v>
      </c>
      <c r="P12" s="148">
        <f>46.21*D12/150</f>
        <v>55.451999999999998</v>
      </c>
      <c r="Q12" s="148">
        <f>0.78*D12/150</f>
        <v>0.93600000000000005</v>
      </c>
      <c r="R12" s="149">
        <f>0.0015*D12/150</f>
        <v>1.8000000000000002E-3</v>
      </c>
      <c r="S12" s="148">
        <f>8.47*D12/150</f>
        <v>10.164000000000001</v>
      </c>
      <c r="T12" s="148">
        <f>0.86*D12/150</f>
        <v>1.032</v>
      </c>
      <c r="U12" s="150"/>
      <c r="V12" s="151"/>
      <c r="W12" s="151"/>
      <c r="X12" s="151"/>
    </row>
    <row r="13" spans="1:24" s="140" customFormat="1" ht="12.75" customHeight="1" x14ac:dyDescent="0.2">
      <c r="A13" s="182">
        <v>377</v>
      </c>
      <c r="B13" s="258" t="s">
        <v>45</v>
      </c>
      <c r="C13" s="258"/>
      <c r="D13" s="147">
        <v>200</v>
      </c>
      <c r="E13" s="148">
        <v>3.61</v>
      </c>
      <c r="F13" s="148">
        <v>0.26</v>
      </c>
      <c r="G13" s="148">
        <v>0.06</v>
      </c>
      <c r="H13" s="148">
        <v>15.22</v>
      </c>
      <c r="I13" s="148">
        <f>F13*4+G13*9+H13*4</f>
        <v>62.46</v>
      </c>
      <c r="J13" s="148"/>
      <c r="K13" s="148">
        <v>0.01</v>
      </c>
      <c r="L13" s="148">
        <v>2.9</v>
      </c>
      <c r="M13" s="145">
        <v>0</v>
      </c>
      <c r="N13" s="148">
        <v>0.06</v>
      </c>
      <c r="O13" s="148">
        <v>8.0500000000000007</v>
      </c>
      <c r="P13" s="148">
        <v>9.7799999999999994</v>
      </c>
      <c r="Q13" s="148">
        <v>1.7000000000000001E-2</v>
      </c>
      <c r="R13" s="149">
        <v>0</v>
      </c>
      <c r="S13" s="148">
        <v>5.24</v>
      </c>
      <c r="T13" s="148">
        <v>0.87</v>
      </c>
      <c r="U13" s="150"/>
      <c r="V13" s="151"/>
      <c r="W13" s="151"/>
      <c r="X13" s="151"/>
    </row>
    <row r="14" spans="1:24" s="140" customFormat="1" ht="11.25" customHeight="1" x14ac:dyDescent="0.2">
      <c r="A14" s="153" t="s">
        <v>66</v>
      </c>
      <c r="B14" s="223" t="s">
        <v>53</v>
      </c>
      <c r="C14" s="224"/>
      <c r="D14" s="147">
        <v>40</v>
      </c>
      <c r="E14" s="148">
        <v>3.1</v>
      </c>
      <c r="F14" s="148">
        <f>1.52*D14/30</f>
        <v>2.0266666666666664</v>
      </c>
      <c r="G14" s="149">
        <f>0.16*D14/30</f>
        <v>0.21333333333333335</v>
      </c>
      <c r="H14" s="149">
        <f>9.84*D14/30</f>
        <v>13.120000000000001</v>
      </c>
      <c r="I14" s="149">
        <f>F14*4+G14*9+H14*4</f>
        <v>62.506666666666668</v>
      </c>
      <c r="J14" s="149">
        <f>0.02*D14/30</f>
        <v>2.6666666666666668E-2</v>
      </c>
      <c r="K14" s="149">
        <f>0.01*D14/30</f>
        <v>1.3333333333333334E-2</v>
      </c>
      <c r="L14" s="149">
        <f>0.44*D14/30</f>
        <v>0.58666666666666667</v>
      </c>
      <c r="M14" s="149">
        <v>0</v>
      </c>
      <c r="N14" s="149">
        <f>0.7*D14/30</f>
        <v>0.93333333333333335</v>
      </c>
      <c r="O14" s="149">
        <f>4*D14/30</f>
        <v>5.333333333333333</v>
      </c>
      <c r="P14" s="149">
        <f>13*D14/30</f>
        <v>17.333333333333332</v>
      </c>
      <c r="Q14" s="149">
        <f>0.008*D14/30</f>
        <v>1.0666666666666666E-2</v>
      </c>
      <c r="R14" s="149">
        <f>0.001*D14/30</f>
        <v>1.3333333333333333E-3</v>
      </c>
      <c r="S14" s="149">
        <v>0</v>
      </c>
      <c r="T14" s="149">
        <f>0.22*D14/30</f>
        <v>0.29333333333333333</v>
      </c>
      <c r="U14" s="150"/>
      <c r="V14" s="151"/>
      <c r="W14" s="151"/>
      <c r="X14" s="151"/>
    </row>
    <row r="15" spans="1:24" s="140" customFormat="1" ht="11.25" customHeight="1" x14ac:dyDescent="0.2">
      <c r="A15" s="61" t="s">
        <v>25</v>
      </c>
      <c r="B15" s="62"/>
      <c r="C15" s="62"/>
      <c r="D15" s="60">
        <f t="shared" ref="D15:J15" si="0">SUM(D10:D14)</f>
        <v>580</v>
      </c>
      <c r="E15" s="154">
        <f t="shared" si="0"/>
        <v>70</v>
      </c>
      <c r="F15" s="39">
        <f>SUM(F10:F14)</f>
        <v>15.32</v>
      </c>
      <c r="G15" s="38">
        <f t="shared" si="0"/>
        <v>20.739333333333331</v>
      </c>
      <c r="H15" s="38">
        <f t="shared" si="0"/>
        <v>76.283333333333346</v>
      </c>
      <c r="I15" s="38">
        <f t="shared" si="0"/>
        <v>553.06733333333341</v>
      </c>
      <c r="J15" s="39">
        <f t="shared" si="0"/>
        <v>0.28366666666666668</v>
      </c>
      <c r="K15" s="39">
        <f t="shared" ref="K15:T15" si="1">SUM(K10:K14)</f>
        <v>0.11933333333333333</v>
      </c>
      <c r="L15" s="39">
        <f t="shared" si="1"/>
        <v>6.5766666666666671</v>
      </c>
      <c r="M15" s="40">
        <f t="shared" si="1"/>
        <v>3.9E-2</v>
      </c>
      <c r="N15" s="39">
        <f t="shared" si="1"/>
        <v>2.5233333333333334</v>
      </c>
      <c r="O15" s="38">
        <f t="shared" si="1"/>
        <v>45.759333333333338</v>
      </c>
      <c r="P15" s="38">
        <f t="shared" si="1"/>
        <v>158.54533333333336</v>
      </c>
      <c r="Q15" s="39">
        <f t="shared" si="1"/>
        <v>2.1476666666666668</v>
      </c>
      <c r="R15" s="40">
        <f t="shared" si="1"/>
        <v>2.5541333333333327</v>
      </c>
      <c r="S15" s="38">
        <f t="shared" si="1"/>
        <v>30.904000000000003</v>
      </c>
      <c r="T15" s="39">
        <f t="shared" si="1"/>
        <v>3.1253333333333333</v>
      </c>
      <c r="U15" s="38"/>
      <c r="V15" s="142"/>
      <c r="W15" s="142"/>
      <c r="X15" s="142"/>
    </row>
    <row r="16" spans="1:24" s="140" customFormat="1" ht="11.25" customHeight="1" x14ac:dyDescent="0.2">
      <c r="A16" s="231" t="s">
        <v>62</v>
      </c>
      <c r="B16" s="232"/>
      <c r="C16" s="232"/>
      <c r="D16" s="233"/>
      <c r="E16" s="180"/>
      <c r="F16" s="155">
        <f t="shared" ref="F16:T16" si="2">F15/F37</f>
        <v>0.17022222222222222</v>
      </c>
      <c r="G16" s="76">
        <f t="shared" si="2"/>
        <v>0.22542753623188402</v>
      </c>
      <c r="H16" s="76">
        <f t="shared" si="2"/>
        <v>0.19917319408181031</v>
      </c>
      <c r="I16" s="76">
        <f t="shared" si="2"/>
        <v>0.20333357843137256</v>
      </c>
      <c r="J16" s="76">
        <f t="shared" si="2"/>
        <v>0.20261904761904764</v>
      </c>
      <c r="K16" s="76">
        <f t="shared" si="2"/>
        <v>7.4583333333333335E-2</v>
      </c>
      <c r="L16" s="76">
        <f t="shared" si="2"/>
        <v>9.3952380952380954E-2</v>
      </c>
      <c r="M16" s="76">
        <f t="shared" si="2"/>
        <v>4.3333333333333335E-2</v>
      </c>
      <c r="N16" s="76">
        <f t="shared" si="2"/>
        <v>0.21027777777777779</v>
      </c>
      <c r="O16" s="44">
        <f t="shared" si="2"/>
        <v>3.8132777777777779E-2</v>
      </c>
      <c r="P16" s="76">
        <f t="shared" si="2"/>
        <v>0.13212111111111113</v>
      </c>
      <c r="Q16" s="76">
        <f t="shared" si="2"/>
        <v>0.1534047619047619</v>
      </c>
      <c r="R16" s="76">
        <f t="shared" si="2"/>
        <v>25.541333333333327</v>
      </c>
      <c r="S16" s="76">
        <f t="shared" si="2"/>
        <v>0.10301333333333335</v>
      </c>
      <c r="T16" s="44">
        <f t="shared" si="2"/>
        <v>0.17362962962962963</v>
      </c>
      <c r="U16" s="144"/>
      <c r="V16" s="142"/>
      <c r="W16" s="142"/>
      <c r="X16" s="142"/>
    </row>
    <row r="17" spans="1:24" s="129" customFormat="1" ht="14.25" customHeight="1" x14ac:dyDescent="0.2">
      <c r="A17" s="207" t="s">
        <v>66</v>
      </c>
      <c r="B17" s="292" t="s">
        <v>117</v>
      </c>
      <c r="C17" s="292"/>
      <c r="D17" s="208">
        <v>200</v>
      </c>
      <c r="E17" s="209"/>
      <c r="F17" s="210">
        <v>5.6</v>
      </c>
      <c r="G17" s="210">
        <v>6.4</v>
      </c>
      <c r="H17" s="210">
        <v>9.4</v>
      </c>
      <c r="I17" s="210">
        <v>117.6</v>
      </c>
      <c r="J17" s="210">
        <v>0.08</v>
      </c>
      <c r="K17" s="210">
        <v>0.307</v>
      </c>
      <c r="L17" s="210">
        <v>2.6</v>
      </c>
      <c r="M17" s="210">
        <v>6.7000000000000004E-2</v>
      </c>
      <c r="N17" s="210">
        <v>0.29199999999999998</v>
      </c>
      <c r="O17" s="210">
        <v>240</v>
      </c>
      <c r="P17" s="210">
        <v>180</v>
      </c>
      <c r="Q17" s="210">
        <v>0.8</v>
      </c>
      <c r="R17" s="210">
        <v>1.7999999999999999E-2</v>
      </c>
      <c r="S17" s="210">
        <v>28</v>
      </c>
      <c r="T17" s="210">
        <v>0.12</v>
      </c>
    </row>
    <row r="18" spans="1:24" s="140" customFormat="1" ht="11.25" hidden="1" customHeight="1" x14ac:dyDescent="0.2">
      <c r="A18" s="179"/>
      <c r="B18" s="180"/>
      <c r="C18" s="180"/>
      <c r="D18" s="180"/>
      <c r="E18" s="171">
        <f>70-E15</f>
        <v>0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68"/>
      <c r="P18" s="155"/>
      <c r="Q18" s="155"/>
      <c r="R18" s="155"/>
      <c r="S18" s="155"/>
      <c r="T18" s="169"/>
      <c r="U18" s="144"/>
      <c r="V18" s="142"/>
      <c r="W18" s="142"/>
      <c r="X18" s="142"/>
    </row>
    <row r="19" spans="1:24" s="140" customFormat="1" ht="11.25" customHeight="1" x14ac:dyDescent="0.2">
      <c r="A19" s="234" t="s">
        <v>28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6"/>
      <c r="U19" s="11"/>
      <c r="V19" s="24"/>
      <c r="W19" s="24"/>
      <c r="X19" s="24"/>
    </row>
    <row r="20" spans="1:24" s="140" customFormat="1" ht="22.5" hidden="1" customHeight="1" x14ac:dyDescent="0.2">
      <c r="A20" s="85" t="s">
        <v>92</v>
      </c>
      <c r="B20" s="280" t="s">
        <v>88</v>
      </c>
      <c r="C20" s="281"/>
      <c r="D20" s="85"/>
      <c r="E20" s="85"/>
      <c r="F20" s="92">
        <f>0.94*D20/60</f>
        <v>0</v>
      </c>
      <c r="G20" s="92">
        <f>7.22*D20/60</f>
        <v>0</v>
      </c>
      <c r="H20" s="92">
        <f>5.27*D20/60</f>
        <v>0</v>
      </c>
      <c r="I20" s="148">
        <f>F20*4+G20*9+H20*4</f>
        <v>0</v>
      </c>
      <c r="J20" s="85">
        <f>0.03*D20/60</f>
        <v>0</v>
      </c>
      <c r="K20" s="85">
        <f>0.03*D20/60</f>
        <v>0</v>
      </c>
      <c r="L20" s="85">
        <f>12.4*D20/60</f>
        <v>0</v>
      </c>
      <c r="M20" s="91">
        <f>0.001*D20/60</f>
        <v>0</v>
      </c>
      <c r="N20" s="85">
        <f>1.5*D20/60</f>
        <v>0</v>
      </c>
      <c r="O20" s="92">
        <f>19.7*D20/60</f>
        <v>0</v>
      </c>
      <c r="P20" s="90">
        <f>20.31*D20/60</f>
        <v>0</v>
      </c>
      <c r="Q20" s="85">
        <f>0.3*D20/60</f>
        <v>0</v>
      </c>
      <c r="R20" s="91">
        <f>0.001*D20/60</f>
        <v>0</v>
      </c>
      <c r="S20" s="92">
        <f>9.98*D20/60</f>
        <v>0</v>
      </c>
      <c r="T20" s="91">
        <f>0.34*D20/60</f>
        <v>0</v>
      </c>
      <c r="U20" s="11"/>
      <c r="V20" s="24"/>
      <c r="W20" s="24"/>
      <c r="X20" s="24"/>
    </row>
    <row r="21" spans="1:24" s="140" customFormat="1" ht="22.5" customHeight="1" x14ac:dyDescent="0.2">
      <c r="A21" s="182">
        <v>56</v>
      </c>
      <c r="B21" s="258" t="s">
        <v>112</v>
      </c>
      <c r="C21" s="258"/>
      <c r="D21" s="147">
        <v>100</v>
      </c>
      <c r="E21" s="148">
        <v>7.5</v>
      </c>
      <c r="F21" s="148">
        <f>0.9*D21/60</f>
        <v>1.5</v>
      </c>
      <c r="G21" s="146">
        <f>3.1*D21/60</f>
        <v>5.166666666666667</v>
      </c>
      <c r="H21" s="146">
        <f>5.6*D21/60</f>
        <v>9.3333333333333339</v>
      </c>
      <c r="I21" s="148">
        <f>F21*4+G21*9+H21*4</f>
        <v>89.833333333333343</v>
      </c>
      <c r="J21" s="149">
        <f>0.1*D21/60</f>
        <v>0.16666666666666666</v>
      </c>
      <c r="K21" s="149">
        <f>0.1*D21/60</f>
        <v>0.16666666666666666</v>
      </c>
      <c r="L21" s="148">
        <f>12.3*D21/60</f>
        <v>20.5</v>
      </c>
      <c r="M21" s="149">
        <f>0.02*D21/60</f>
        <v>3.3333333333333333E-2</v>
      </c>
      <c r="N21" s="149">
        <f>0.5*D21/60</f>
        <v>0.83333333333333337</v>
      </c>
      <c r="O21" s="146">
        <f>59.9*D21/60</f>
        <v>99.833333333333329</v>
      </c>
      <c r="P21" s="146">
        <f>31.3*D21/60</f>
        <v>52.166666666666664</v>
      </c>
      <c r="Q21" s="152">
        <f>0.4228*D21/60</f>
        <v>0.70466666666666666</v>
      </c>
      <c r="R21" s="149">
        <f>0.003*D21/60</f>
        <v>5.0000000000000001E-3</v>
      </c>
      <c r="S21" s="146">
        <f>16.3*D21/60</f>
        <v>27.166666666666668</v>
      </c>
      <c r="T21" s="148">
        <f>0.7*D21/60</f>
        <v>1.1666666666666667</v>
      </c>
      <c r="U21" s="150"/>
      <c r="V21" s="151"/>
      <c r="W21" s="151"/>
      <c r="X21" s="151"/>
    </row>
    <row r="22" spans="1:24" s="140" customFormat="1" ht="15" customHeight="1" x14ac:dyDescent="0.2">
      <c r="A22" s="182">
        <v>96</v>
      </c>
      <c r="B22" s="223" t="s">
        <v>102</v>
      </c>
      <c r="C22" s="224"/>
      <c r="D22" s="147">
        <v>250</v>
      </c>
      <c r="E22" s="148">
        <v>13.85</v>
      </c>
      <c r="F22" s="148">
        <f>2.6*D22/250</f>
        <v>2.6</v>
      </c>
      <c r="G22" s="148">
        <f>6.13*D22/250</f>
        <v>6.13</v>
      </c>
      <c r="H22" s="148">
        <f>17.03*D22/250</f>
        <v>17.03</v>
      </c>
      <c r="I22" s="148">
        <f t="shared" ref="I22:I27" si="3">F22*4+G22*9+H22*4</f>
        <v>133.69</v>
      </c>
      <c r="J22" s="148">
        <f>0.123*D22/250</f>
        <v>0.123</v>
      </c>
      <c r="K22" s="149">
        <f>0.074*D22/250</f>
        <v>7.3999999999999996E-2</v>
      </c>
      <c r="L22" s="146">
        <f>16.03*D22/250</f>
        <v>16.03</v>
      </c>
      <c r="M22" s="148">
        <f>0.035*D22/250</f>
        <v>3.5000000000000003E-2</v>
      </c>
      <c r="N22" s="145">
        <v>0</v>
      </c>
      <c r="O22" s="146">
        <f>25.3*D22/250</f>
        <v>25.3</v>
      </c>
      <c r="P22" s="146">
        <f>71.05*D22/250</f>
        <v>71.05</v>
      </c>
      <c r="Q22" s="147">
        <v>0</v>
      </c>
      <c r="R22" s="147">
        <v>0</v>
      </c>
      <c r="S22" s="146">
        <f>26.725*D22/250</f>
        <v>26.725000000000001</v>
      </c>
      <c r="T22" s="148">
        <f>0.95*D22/250</f>
        <v>0.95</v>
      </c>
      <c r="U22" s="150"/>
      <c r="V22" s="151"/>
      <c r="W22" s="151"/>
      <c r="X22" s="151"/>
    </row>
    <row r="23" spans="1:24" s="140" customFormat="1" ht="23.25" customHeight="1" x14ac:dyDescent="0.2">
      <c r="A23" s="182">
        <v>266</v>
      </c>
      <c r="B23" s="223" t="s">
        <v>89</v>
      </c>
      <c r="C23" s="224"/>
      <c r="D23" s="147">
        <v>100</v>
      </c>
      <c r="E23" s="148">
        <v>44.81</v>
      </c>
      <c r="F23" s="148">
        <v>16.68</v>
      </c>
      <c r="G23" s="148">
        <v>23.27</v>
      </c>
      <c r="H23" s="148">
        <v>4.28</v>
      </c>
      <c r="I23" s="148">
        <v>293</v>
      </c>
      <c r="J23" s="148">
        <v>0.20300000000000001</v>
      </c>
      <c r="K23" s="148">
        <v>0.23</v>
      </c>
      <c r="L23" s="148">
        <v>0.48</v>
      </c>
      <c r="M23" s="148">
        <f>0.04*D23/80</f>
        <v>0.05</v>
      </c>
      <c r="N23" s="145">
        <v>6.8000000000000005E-2</v>
      </c>
      <c r="O23" s="146">
        <v>54.5</v>
      </c>
      <c r="P23" s="146">
        <v>200.14</v>
      </c>
      <c r="Q23" s="148">
        <v>2.56</v>
      </c>
      <c r="R23" s="149">
        <f>0.04*D23/80</f>
        <v>0.05</v>
      </c>
      <c r="S23" s="146">
        <v>27.5</v>
      </c>
      <c r="T23" s="148">
        <v>2.17</v>
      </c>
      <c r="U23" s="150"/>
      <c r="V23" s="151"/>
      <c r="W23" s="151"/>
      <c r="X23" s="151"/>
    </row>
    <row r="24" spans="1:24" s="140" customFormat="1" ht="12.75" customHeight="1" x14ac:dyDescent="0.2">
      <c r="A24" s="153">
        <v>171</v>
      </c>
      <c r="B24" s="223" t="s">
        <v>24</v>
      </c>
      <c r="C24" s="224"/>
      <c r="D24" s="147">
        <v>180</v>
      </c>
      <c r="E24" s="148">
        <v>13.8</v>
      </c>
      <c r="F24" s="148">
        <f>6.57*D24/150</f>
        <v>7.8840000000000012</v>
      </c>
      <c r="G24" s="148">
        <f>4.19*D24/150</f>
        <v>5.0280000000000005</v>
      </c>
      <c r="H24" s="148">
        <f>32.32*D24/150</f>
        <v>38.783999999999999</v>
      </c>
      <c r="I24" s="148">
        <f t="shared" si="3"/>
        <v>231.92400000000001</v>
      </c>
      <c r="J24" s="149">
        <f>0.06*D24/150</f>
        <v>7.1999999999999995E-2</v>
      </c>
      <c r="K24" s="149">
        <f>0.03*D24/150</f>
        <v>3.5999999999999997E-2</v>
      </c>
      <c r="L24" s="145">
        <v>0</v>
      </c>
      <c r="M24" s="149">
        <f>0.03*D24/150</f>
        <v>3.5999999999999997E-2</v>
      </c>
      <c r="N24" s="145">
        <f>2.55*D24/150</f>
        <v>3.0599999999999996</v>
      </c>
      <c r="O24" s="148">
        <f>18.12*D24/150</f>
        <v>21.744000000000003</v>
      </c>
      <c r="P24" s="148">
        <f>157.03*D24/150</f>
        <v>188.43600000000001</v>
      </c>
      <c r="Q24" s="149">
        <f>0.8874*D24/150</f>
        <v>1.06488</v>
      </c>
      <c r="R24" s="149">
        <f>0.00135*D24/150</f>
        <v>1.6200000000000001E-3</v>
      </c>
      <c r="S24" s="148">
        <f>104.45*D24/150</f>
        <v>125.34</v>
      </c>
      <c r="T24" s="148">
        <f>3.55*D24/150</f>
        <v>4.26</v>
      </c>
      <c r="U24" s="150"/>
      <c r="V24" s="151"/>
      <c r="W24" s="151"/>
      <c r="X24" s="151"/>
    </row>
    <row r="25" spans="1:24" s="140" customFormat="1" x14ac:dyDescent="0.2">
      <c r="A25" s="133">
        <v>345</v>
      </c>
      <c r="B25" s="266" t="s">
        <v>49</v>
      </c>
      <c r="C25" s="266"/>
      <c r="D25" s="137">
        <v>200</v>
      </c>
      <c r="E25" s="128">
        <v>4.9000000000000004</v>
      </c>
      <c r="F25" s="128">
        <v>0.06</v>
      </c>
      <c r="G25" s="128">
        <v>0.02</v>
      </c>
      <c r="H25" s="128">
        <v>20.73</v>
      </c>
      <c r="I25" s="128">
        <v>83.34</v>
      </c>
      <c r="J25" s="128">
        <v>0</v>
      </c>
      <c r="K25" s="128">
        <v>0</v>
      </c>
      <c r="L25" s="128">
        <v>2.5</v>
      </c>
      <c r="M25" s="128">
        <v>4.0000000000000001E-3</v>
      </c>
      <c r="N25" s="128">
        <v>0.2</v>
      </c>
      <c r="O25" s="128">
        <v>4</v>
      </c>
      <c r="P25" s="128">
        <v>3.3</v>
      </c>
      <c r="Q25" s="128">
        <v>0.08</v>
      </c>
      <c r="R25" s="128">
        <v>1E-3</v>
      </c>
      <c r="S25" s="128">
        <v>1.7</v>
      </c>
      <c r="T25" s="128">
        <v>0.15</v>
      </c>
      <c r="U25" s="150"/>
      <c r="V25" s="151"/>
      <c r="W25" s="151"/>
      <c r="X25" s="151"/>
    </row>
    <row r="26" spans="1:24" s="140" customFormat="1" ht="11.25" customHeight="1" x14ac:dyDescent="0.2">
      <c r="A26" s="78" t="s">
        <v>66</v>
      </c>
      <c r="B26" s="223" t="s">
        <v>46</v>
      </c>
      <c r="C26" s="224"/>
      <c r="D26" s="147">
        <v>40</v>
      </c>
      <c r="E26" s="148">
        <v>2.04</v>
      </c>
      <c r="F26" s="148">
        <f>2.64*D26/40</f>
        <v>2.64</v>
      </c>
      <c r="G26" s="148">
        <f>0.48*D26/40</f>
        <v>0.48</v>
      </c>
      <c r="H26" s="148">
        <f>13.68*D26/40</f>
        <v>13.680000000000001</v>
      </c>
      <c r="I26" s="146">
        <f t="shared" si="3"/>
        <v>69.600000000000009</v>
      </c>
      <c r="J26" s="145">
        <f>0.08*D26/40</f>
        <v>0.08</v>
      </c>
      <c r="K26" s="148">
        <f>0.04*D26/40</f>
        <v>0.04</v>
      </c>
      <c r="L26" s="147">
        <v>0</v>
      </c>
      <c r="M26" s="147">
        <v>0</v>
      </c>
      <c r="N26" s="148">
        <f>2.4*D26/40</f>
        <v>2.4</v>
      </c>
      <c r="O26" s="148">
        <f>14*D26/40</f>
        <v>14</v>
      </c>
      <c r="P26" s="148">
        <f>63.2*D26/40</f>
        <v>63.2</v>
      </c>
      <c r="Q26" s="148">
        <f>1.2*D26/40</f>
        <v>1.2</v>
      </c>
      <c r="R26" s="149">
        <f>0.001*D26/40</f>
        <v>1E-3</v>
      </c>
      <c r="S26" s="148">
        <f>9.4*D26/40</f>
        <v>9.4</v>
      </c>
      <c r="T26" s="145">
        <f>0.78*D26/40</f>
        <v>0.78</v>
      </c>
      <c r="U26" s="30"/>
      <c r="V26" s="31"/>
      <c r="W26" s="31"/>
      <c r="X26" s="31"/>
    </row>
    <row r="27" spans="1:24" s="140" customFormat="1" ht="11.25" customHeight="1" x14ac:dyDescent="0.2">
      <c r="A27" s="153" t="s">
        <v>66</v>
      </c>
      <c r="B27" s="223" t="s">
        <v>53</v>
      </c>
      <c r="C27" s="224"/>
      <c r="D27" s="147">
        <v>40</v>
      </c>
      <c r="E27" s="148">
        <v>3.1</v>
      </c>
      <c r="F27" s="148">
        <f>1.52*D27/30</f>
        <v>2.0266666666666664</v>
      </c>
      <c r="G27" s="149">
        <f>0.16*D27/30</f>
        <v>0.21333333333333335</v>
      </c>
      <c r="H27" s="149">
        <f>9.84*D27/30</f>
        <v>13.120000000000001</v>
      </c>
      <c r="I27" s="149">
        <f t="shared" si="3"/>
        <v>62.506666666666668</v>
      </c>
      <c r="J27" s="149">
        <f>0.02*D27/30</f>
        <v>2.6666666666666668E-2</v>
      </c>
      <c r="K27" s="149">
        <f>0.01*D27/30</f>
        <v>1.3333333333333334E-2</v>
      </c>
      <c r="L27" s="149">
        <f>0.44*D27/30</f>
        <v>0.58666666666666667</v>
      </c>
      <c r="M27" s="149">
        <v>0</v>
      </c>
      <c r="N27" s="149">
        <f>0.7*D27/30</f>
        <v>0.93333333333333335</v>
      </c>
      <c r="O27" s="149">
        <f>4*D27/30</f>
        <v>5.333333333333333</v>
      </c>
      <c r="P27" s="149">
        <f>13*D27/30</f>
        <v>17.333333333333332</v>
      </c>
      <c r="Q27" s="149">
        <f>0.008*D27/30</f>
        <v>1.0666666666666666E-2</v>
      </c>
      <c r="R27" s="149">
        <f>0.001*D27/30</f>
        <v>1.3333333333333333E-3</v>
      </c>
      <c r="S27" s="149">
        <v>0</v>
      </c>
      <c r="T27" s="149">
        <f>0.22*D27/30</f>
        <v>0.29333333333333333</v>
      </c>
      <c r="U27" s="35"/>
      <c r="V27" s="36"/>
      <c r="W27" s="36"/>
      <c r="X27" s="36"/>
    </row>
    <row r="28" spans="1:24" s="140" customFormat="1" ht="11.25" customHeight="1" x14ac:dyDescent="0.2">
      <c r="A28" s="61" t="s">
        <v>29</v>
      </c>
      <c r="B28" s="62"/>
      <c r="C28" s="62"/>
      <c r="D28" s="65">
        <f t="shared" ref="D28:I28" si="4">SUM(D21:D27)</f>
        <v>910</v>
      </c>
      <c r="E28" s="154">
        <f t="shared" si="4"/>
        <v>90</v>
      </c>
      <c r="F28" s="39">
        <f t="shared" si="4"/>
        <v>33.390666666666668</v>
      </c>
      <c r="G28" s="38">
        <f t="shared" si="4"/>
        <v>40.307999999999993</v>
      </c>
      <c r="H28" s="49">
        <f t="shared" si="4"/>
        <v>116.95733333333335</v>
      </c>
      <c r="I28" s="38">
        <f t="shared" si="4"/>
        <v>963.89400000000001</v>
      </c>
      <c r="J28" s="38">
        <f t="shared" ref="J28:T28" si="5">SUM(J21:J27)</f>
        <v>0.67133333333333323</v>
      </c>
      <c r="K28" s="38">
        <f t="shared" si="5"/>
        <v>0.56000000000000005</v>
      </c>
      <c r="L28" s="38">
        <f t="shared" si="5"/>
        <v>40.096666666666664</v>
      </c>
      <c r="M28" s="39">
        <f t="shared" si="5"/>
        <v>0.15833333333333333</v>
      </c>
      <c r="N28" s="39">
        <f t="shared" si="5"/>
        <v>7.4946666666666673</v>
      </c>
      <c r="O28" s="49">
        <f t="shared" si="5"/>
        <v>224.71066666666667</v>
      </c>
      <c r="P28" s="38">
        <f t="shared" si="5"/>
        <v>595.62600000000009</v>
      </c>
      <c r="Q28" s="40">
        <f t="shared" si="5"/>
        <v>5.6202133333333339</v>
      </c>
      <c r="R28" s="40">
        <f t="shared" si="5"/>
        <v>5.9953333333333338E-2</v>
      </c>
      <c r="S28" s="38">
        <f t="shared" si="5"/>
        <v>217.83166666666668</v>
      </c>
      <c r="T28" s="39">
        <f t="shared" si="5"/>
        <v>9.77</v>
      </c>
      <c r="U28" s="38"/>
      <c r="V28" s="142"/>
      <c r="W28" s="142"/>
      <c r="X28" s="142"/>
    </row>
    <row r="29" spans="1:24" s="140" customFormat="1" ht="11.25" customHeight="1" x14ac:dyDescent="0.2">
      <c r="A29" s="231" t="s">
        <v>62</v>
      </c>
      <c r="B29" s="232"/>
      <c r="C29" s="232"/>
      <c r="D29" s="233"/>
      <c r="E29" s="180"/>
      <c r="F29" s="155">
        <f t="shared" ref="F29:T29" si="6">F28/F37</f>
        <v>0.3710074074074074</v>
      </c>
      <c r="G29" s="76">
        <f t="shared" si="6"/>
        <v>0.4381304347826086</v>
      </c>
      <c r="H29" s="76">
        <f t="shared" si="6"/>
        <v>0.30537162750217584</v>
      </c>
      <c r="I29" s="76">
        <f t="shared" si="6"/>
        <v>0.35437279411764705</v>
      </c>
      <c r="J29" s="76">
        <f t="shared" si="6"/>
        <v>0.47952380952380946</v>
      </c>
      <c r="K29" s="76">
        <f t="shared" si="6"/>
        <v>0.35000000000000003</v>
      </c>
      <c r="L29" s="76">
        <f t="shared" si="6"/>
        <v>0.57280952380952377</v>
      </c>
      <c r="M29" s="76">
        <f t="shared" si="6"/>
        <v>0.1759259259259259</v>
      </c>
      <c r="N29" s="76">
        <f t="shared" si="6"/>
        <v>0.62455555555555564</v>
      </c>
      <c r="O29" s="44">
        <f t="shared" si="6"/>
        <v>0.18725888888888889</v>
      </c>
      <c r="P29" s="76">
        <f t="shared" si="6"/>
        <v>0.4963550000000001</v>
      </c>
      <c r="Q29" s="76">
        <f t="shared" si="6"/>
        <v>0.40144380952380959</v>
      </c>
      <c r="R29" s="76">
        <f t="shared" si="6"/>
        <v>0.59953333333333336</v>
      </c>
      <c r="S29" s="76">
        <f t="shared" si="6"/>
        <v>0.72610555555555556</v>
      </c>
      <c r="T29" s="44">
        <f t="shared" si="6"/>
        <v>0.5427777777777778</v>
      </c>
      <c r="U29" s="144"/>
      <c r="V29" s="142"/>
      <c r="W29" s="142"/>
      <c r="X29" s="142"/>
    </row>
    <row r="30" spans="1:24" s="140" customFormat="1" ht="11.25" hidden="1" customHeight="1" x14ac:dyDescent="0.2">
      <c r="A30" s="179"/>
      <c r="B30" s="180"/>
      <c r="C30" s="180"/>
      <c r="D30" s="180"/>
      <c r="E30" s="171">
        <f>90-E28</f>
        <v>0</v>
      </c>
      <c r="F30" s="155"/>
      <c r="G30" s="155"/>
      <c r="H30" s="155"/>
      <c r="I30" s="155"/>
      <c r="J30" s="155"/>
      <c r="K30" s="155"/>
      <c r="L30" s="155"/>
      <c r="M30" s="155"/>
      <c r="N30" s="155"/>
      <c r="O30" s="168"/>
      <c r="P30" s="155"/>
      <c r="Q30" s="155"/>
      <c r="R30" s="155"/>
      <c r="S30" s="155"/>
      <c r="T30" s="169"/>
      <c r="U30" s="144"/>
      <c r="V30" s="142"/>
      <c r="W30" s="142"/>
      <c r="X30" s="142"/>
    </row>
    <row r="31" spans="1:24" s="140" customFormat="1" ht="15.75" customHeight="1" x14ac:dyDescent="0.2">
      <c r="A31" s="234" t="s">
        <v>30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6"/>
      <c r="U31" s="11"/>
      <c r="V31" s="24"/>
      <c r="W31" s="24"/>
      <c r="X31" s="24"/>
    </row>
    <row r="32" spans="1:24" s="204" customFormat="1" ht="15.75" customHeight="1" x14ac:dyDescent="0.2">
      <c r="A32" s="135"/>
      <c r="B32" s="253"/>
      <c r="C32" s="253"/>
      <c r="D32" s="131"/>
      <c r="E32" s="130"/>
      <c r="F32" s="130"/>
      <c r="G32" s="130"/>
      <c r="H32" s="130"/>
      <c r="I32" s="130"/>
      <c r="J32" s="201"/>
      <c r="K32" s="130"/>
      <c r="L32" s="130"/>
      <c r="M32" s="201"/>
      <c r="N32" s="202"/>
      <c r="O32" s="203"/>
      <c r="P32" s="130"/>
      <c r="Q32" s="130"/>
      <c r="R32" s="201"/>
      <c r="S32" s="130"/>
      <c r="T32" s="130"/>
    </row>
    <row r="33" spans="1:25" s="129" customFormat="1" ht="15.75" customHeight="1" x14ac:dyDescent="0.2">
      <c r="A33" s="205"/>
      <c r="B33" s="225"/>
      <c r="C33" s="225"/>
      <c r="D33" s="206"/>
      <c r="E33" s="136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</row>
    <row r="34" spans="1:25" s="1" customFormat="1" ht="15.75" customHeight="1" x14ac:dyDescent="0.2">
      <c r="A34" s="61" t="s">
        <v>31</v>
      </c>
      <c r="B34" s="62"/>
      <c r="C34" s="62"/>
      <c r="D34" s="65">
        <f t="shared" ref="D34:T34" si="7">SUM(D32:D33)</f>
        <v>0</v>
      </c>
      <c r="E34" s="154">
        <f t="shared" si="7"/>
        <v>0</v>
      </c>
      <c r="F34" s="154">
        <f t="shared" si="7"/>
        <v>0</v>
      </c>
      <c r="G34" s="154">
        <f t="shared" si="7"/>
        <v>0</v>
      </c>
      <c r="H34" s="154">
        <f t="shared" si="7"/>
        <v>0</v>
      </c>
      <c r="I34" s="154">
        <f t="shared" si="7"/>
        <v>0</v>
      </c>
      <c r="J34" s="154">
        <f t="shared" si="7"/>
        <v>0</v>
      </c>
      <c r="K34" s="154">
        <f t="shared" si="7"/>
        <v>0</v>
      </c>
      <c r="L34" s="154">
        <f t="shared" si="7"/>
        <v>0</v>
      </c>
      <c r="M34" s="154">
        <f t="shared" si="7"/>
        <v>0</v>
      </c>
      <c r="N34" s="154">
        <f t="shared" si="7"/>
        <v>0</v>
      </c>
      <c r="O34" s="154">
        <f t="shared" si="7"/>
        <v>0</v>
      </c>
      <c r="P34" s="154">
        <f t="shared" si="7"/>
        <v>0</v>
      </c>
      <c r="Q34" s="154">
        <f t="shared" si="7"/>
        <v>0</v>
      </c>
      <c r="R34" s="154">
        <f t="shared" si="7"/>
        <v>0</v>
      </c>
      <c r="S34" s="154">
        <f t="shared" si="7"/>
        <v>0</v>
      </c>
      <c r="T34" s="154">
        <f t="shared" si="7"/>
        <v>0</v>
      </c>
      <c r="U34" s="38"/>
      <c r="V34" s="142"/>
      <c r="W34" s="142"/>
      <c r="X34" s="142"/>
    </row>
    <row r="35" spans="1:25" s="1" customFormat="1" ht="11.25" customHeight="1" x14ac:dyDescent="0.2">
      <c r="A35" s="231" t="s">
        <v>62</v>
      </c>
      <c r="B35" s="232"/>
      <c r="C35" s="232"/>
      <c r="D35" s="233"/>
      <c r="E35" s="181"/>
      <c r="F35" s="76">
        <f>F34/F37</f>
        <v>0</v>
      </c>
      <c r="G35" s="76">
        <f t="shared" ref="G35:T35" si="8">G34/G37</f>
        <v>0</v>
      </c>
      <c r="H35" s="76">
        <f t="shared" si="8"/>
        <v>0</v>
      </c>
      <c r="I35" s="76">
        <f t="shared" si="8"/>
        <v>0</v>
      </c>
      <c r="J35" s="76">
        <f t="shared" si="8"/>
        <v>0</v>
      </c>
      <c r="K35" s="76">
        <f t="shared" si="8"/>
        <v>0</v>
      </c>
      <c r="L35" s="76">
        <f t="shared" si="8"/>
        <v>0</v>
      </c>
      <c r="M35" s="76">
        <f t="shared" si="8"/>
        <v>0</v>
      </c>
      <c r="N35" s="76">
        <f t="shared" si="8"/>
        <v>0</v>
      </c>
      <c r="O35" s="76">
        <f t="shared" si="8"/>
        <v>0</v>
      </c>
      <c r="P35" s="76">
        <f t="shared" si="8"/>
        <v>0</v>
      </c>
      <c r="Q35" s="76">
        <f t="shared" si="8"/>
        <v>0</v>
      </c>
      <c r="R35" s="76">
        <f t="shared" si="8"/>
        <v>0</v>
      </c>
      <c r="S35" s="76">
        <f t="shared" si="8"/>
        <v>0</v>
      </c>
      <c r="T35" s="44">
        <f t="shared" si="8"/>
        <v>0</v>
      </c>
      <c r="U35" s="144"/>
      <c r="V35" s="142"/>
      <c r="W35" s="142"/>
      <c r="X35" s="142"/>
    </row>
    <row r="36" spans="1:25" s="1" customFormat="1" ht="11.25" customHeight="1" x14ac:dyDescent="0.2">
      <c r="A36" s="261" t="s">
        <v>61</v>
      </c>
      <c r="B36" s="262"/>
      <c r="C36" s="262"/>
      <c r="D36" s="263"/>
      <c r="E36" s="174"/>
      <c r="F36" s="39">
        <f t="shared" ref="F36:T36" si="9">SUM(F15,F28,F34)</f>
        <v>48.710666666666668</v>
      </c>
      <c r="G36" s="38">
        <f t="shared" si="9"/>
        <v>61.047333333333327</v>
      </c>
      <c r="H36" s="38">
        <f t="shared" si="9"/>
        <v>193.2406666666667</v>
      </c>
      <c r="I36" s="38">
        <f t="shared" si="9"/>
        <v>1516.9613333333334</v>
      </c>
      <c r="J36" s="39">
        <f t="shared" si="9"/>
        <v>0.95499999999999985</v>
      </c>
      <c r="K36" s="39">
        <f t="shared" si="9"/>
        <v>0.67933333333333334</v>
      </c>
      <c r="L36" s="38">
        <f t="shared" si="9"/>
        <v>46.673333333333332</v>
      </c>
      <c r="M36" s="39">
        <f t="shared" si="9"/>
        <v>0.19733333333333333</v>
      </c>
      <c r="N36" s="39">
        <f t="shared" si="9"/>
        <v>10.018000000000001</v>
      </c>
      <c r="O36" s="38">
        <f t="shared" si="9"/>
        <v>270.47000000000003</v>
      </c>
      <c r="P36" s="38">
        <f t="shared" si="9"/>
        <v>754.17133333333345</v>
      </c>
      <c r="Q36" s="39">
        <f t="shared" si="9"/>
        <v>7.7678800000000008</v>
      </c>
      <c r="R36" s="40">
        <f t="shared" si="9"/>
        <v>2.6140866666666662</v>
      </c>
      <c r="S36" s="39">
        <f t="shared" si="9"/>
        <v>248.73566666666667</v>
      </c>
      <c r="T36" s="39">
        <f t="shared" si="9"/>
        <v>12.895333333333333</v>
      </c>
      <c r="U36" s="42"/>
      <c r="V36" s="142"/>
      <c r="W36" s="142"/>
      <c r="X36" s="142"/>
    </row>
    <row r="37" spans="1:25" s="1" customFormat="1" ht="11.25" customHeight="1" x14ac:dyDescent="0.2">
      <c r="A37" s="261" t="s">
        <v>63</v>
      </c>
      <c r="B37" s="262"/>
      <c r="C37" s="262"/>
      <c r="D37" s="263"/>
      <c r="E37" s="174"/>
      <c r="F37" s="148">
        <v>90</v>
      </c>
      <c r="G37" s="146">
        <v>92</v>
      </c>
      <c r="H37" s="146">
        <v>383</v>
      </c>
      <c r="I37" s="146">
        <v>2720</v>
      </c>
      <c r="J37" s="148">
        <v>1.4</v>
      </c>
      <c r="K37" s="148">
        <v>1.6</v>
      </c>
      <c r="L37" s="147">
        <v>70</v>
      </c>
      <c r="M37" s="148">
        <v>0.9</v>
      </c>
      <c r="N37" s="147">
        <v>12</v>
      </c>
      <c r="O37" s="147">
        <v>1200</v>
      </c>
      <c r="P37" s="147">
        <v>1200</v>
      </c>
      <c r="Q37" s="147">
        <v>14</v>
      </c>
      <c r="R37" s="146">
        <v>0.1</v>
      </c>
      <c r="S37" s="147">
        <v>300</v>
      </c>
      <c r="T37" s="148">
        <v>18</v>
      </c>
      <c r="U37" s="150"/>
      <c r="V37" s="151"/>
      <c r="W37" s="151"/>
      <c r="X37" s="151"/>
    </row>
    <row r="38" spans="1:25" s="1" customFormat="1" ht="11.25" customHeight="1" x14ac:dyDescent="0.2">
      <c r="A38" s="231" t="s">
        <v>62</v>
      </c>
      <c r="B38" s="232"/>
      <c r="C38" s="232"/>
      <c r="D38" s="233"/>
      <c r="E38" s="181"/>
      <c r="F38" s="76">
        <f t="shared" ref="F38:T38" si="10">F36/F37</f>
        <v>0.54122962962962962</v>
      </c>
      <c r="G38" s="44">
        <f t="shared" si="10"/>
        <v>0.66355797101449265</v>
      </c>
      <c r="H38" s="44">
        <f t="shared" si="10"/>
        <v>0.50454482158398617</v>
      </c>
      <c r="I38" s="44">
        <f t="shared" si="10"/>
        <v>0.55770637254901967</v>
      </c>
      <c r="J38" s="44">
        <f t="shared" si="10"/>
        <v>0.68214285714285705</v>
      </c>
      <c r="K38" s="44">
        <f t="shared" si="10"/>
        <v>0.42458333333333331</v>
      </c>
      <c r="L38" s="44">
        <f t="shared" si="10"/>
        <v>0.66676190476190478</v>
      </c>
      <c r="M38" s="45">
        <f t="shared" si="10"/>
        <v>0.21925925925925926</v>
      </c>
      <c r="N38" s="45">
        <f t="shared" si="10"/>
        <v>0.83483333333333343</v>
      </c>
      <c r="O38" s="44">
        <f t="shared" si="10"/>
        <v>0.22539166666666668</v>
      </c>
      <c r="P38" s="44">
        <f t="shared" si="10"/>
        <v>0.62847611111111124</v>
      </c>
      <c r="Q38" s="44">
        <f t="shared" si="10"/>
        <v>0.55484857142857147</v>
      </c>
      <c r="R38" s="45">
        <f t="shared" si="10"/>
        <v>26.14086666666666</v>
      </c>
      <c r="S38" s="44">
        <f t="shared" si="10"/>
        <v>0.82911888888888896</v>
      </c>
      <c r="T38" s="45">
        <f t="shared" si="10"/>
        <v>0.71640740740740738</v>
      </c>
      <c r="U38" s="51"/>
      <c r="V38" s="52"/>
      <c r="W38" s="52"/>
      <c r="X38" s="52"/>
    </row>
    <row r="39" spans="1:25" s="1" customFormat="1" ht="11.25" customHeight="1" x14ac:dyDescent="0.2">
      <c r="A39" s="54"/>
      <c r="B39" s="54"/>
      <c r="C39" s="110"/>
      <c r="D39" s="110"/>
      <c r="E39" s="117"/>
      <c r="F39" s="102"/>
      <c r="G39" s="71"/>
      <c r="H39" s="2"/>
      <c r="I39" s="2"/>
      <c r="J39" s="71"/>
      <c r="K39" s="71"/>
      <c r="L39" s="71"/>
      <c r="M39" s="265" t="s">
        <v>65</v>
      </c>
      <c r="N39" s="265"/>
      <c r="O39" s="265"/>
      <c r="P39" s="265"/>
      <c r="Q39" s="265"/>
      <c r="R39" s="265"/>
      <c r="S39" s="265"/>
      <c r="T39" s="265"/>
      <c r="U39" s="12"/>
      <c r="V39" s="19"/>
      <c r="W39" s="19"/>
      <c r="X39" s="19"/>
    </row>
    <row r="40" spans="1:25" s="1" customFormat="1" ht="11.25" customHeight="1" x14ac:dyDescent="0.2">
      <c r="A40" s="264" t="s">
        <v>32</v>
      </c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13"/>
      <c r="V40" s="25"/>
      <c r="W40" s="25"/>
      <c r="X40" s="25"/>
      <c r="Y40" s="53"/>
    </row>
    <row r="41" spans="1:25" s="1" customFormat="1" ht="11.25" customHeight="1" x14ac:dyDescent="0.2">
      <c r="A41" s="58" t="s">
        <v>55</v>
      </c>
      <c r="B41" s="54"/>
      <c r="C41" s="54"/>
      <c r="D41" s="2"/>
      <c r="E41" s="2"/>
      <c r="F41" s="34"/>
      <c r="G41" s="240" t="s">
        <v>33</v>
      </c>
      <c r="H41" s="240"/>
      <c r="I41" s="240"/>
      <c r="J41" s="71"/>
      <c r="K41" s="71"/>
      <c r="L41" s="247" t="s">
        <v>2</v>
      </c>
      <c r="M41" s="247"/>
      <c r="N41" s="259"/>
      <c r="O41" s="259"/>
      <c r="P41" s="259"/>
      <c r="Q41" s="259"/>
      <c r="R41" s="71"/>
      <c r="S41" s="71"/>
      <c r="T41" s="71"/>
      <c r="U41" s="14"/>
      <c r="V41" s="20"/>
      <c r="W41" s="20"/>
      <c r="X41" s="20"/>
    </row>
    <row r="42" spans="1:25" s="1" customFormat="1" ht="11.25" customHeight="1" x14ac:dyDescent="0.2">
      <c r="A42" s="54"/>
      <c r="B42" s="54"/>
      <c r="C42" s="54"/>
      <c r="D42" s="247" t="s">
        <v>3</v>
      </c>
      <c r="E42" s="247"/>
      <c r="F42" s="247"/>
      <c r="G42" s="7">
        <v>1</v>
      </c>
      <c r="H42" s="71"/>
      <c r="I42" s="2"/>
      <c r="J42" s="2"/>
      <c r="K42" s="2"/>
      <c r="L42" s="247" t="s">
        <v>4</v>
      </c>
      <c r="M42" s="247"/>
      <c r="N42" s="240" t="s">
        <v>121</v>
      </c>
      <c r="O42" s="240"/>
      <c r="P42" s="240"/>
      <c r="Q42" s="240"/>
      <c r="R42" s="240"/>
      <c r="S42" s="240"/>
      <c r="T42" s="240"/>
      <c r="U42" s="15"/>
      <c r="V42" s="21"/>
      <c r="W42" s="21"/>
      <c r="X42" s="21"/>
    </row>
    <row r="43" spans="1:25" s="1" customFormat="1" ht="21.75" customHeight="1" x14ac:dyDescent="0.2">
      <c r="A43" s="241" t="s">
        <v>5</v>
      </c>
      <c r="B43" s="243" t="s">
        <v>6</v>
      </c>
      <c r="C43" s="244"/>
      <c r="D43" s="241" t="s">
        <v>7</v>
      </c>
      <c r="E43" s="183"/>
      <c r="F43" s="248" t="s">
        <v>8</v>
      </c>
      <c r="G43" s="249"/>
      <c r="H43" s="250"/>
      <c r="I43" s="241" t="s">
        <v>9</v>
      </c>
      <c r="J43" s="248" t="s">
        <v>10</v>
      </c>
      <c r="K43" s="249"/>
      <c r="L43" s="249"/>
      <c r="M43" s="249"/>
      <c r="N43" s="250"/>
      <c r="O43" s="248" t="s">
        <v>11</v>
      </c>
      <c r="P43" s="249"/>
      <c r="Q43" s="249"/>
      <c r="R43" s="249"/>
      <c r="S43" s="249"/>
      <c r="T43" s="250"/>
      <c r="U43" s="9"/>
      <c r="V43" s="22"/>
      <c r="W43" s="22"/>
      <c r="X43" s="22"/>
    </row>
    <row r="44" spans="1:25" s="1" customFormat="1" ht="21" customHeight="1" x14ac:dyDescent="0.2">
      <c r="A44" s="242"/>
      <c r="B44" s="245"/>
      <c r="C44" s="246"/>
      <c r="D44" s="242"/>
      <c r="E44" s="176"/>
      <c r="F44" s="100" t="s">
        <v>12</v>
      </c>
      <c r="G44" s="177" t="s">
        <v>13</v>
      </c>
      <c r="H44" s="177" t="s">
        <v>14</v>
      </c>
      <c r="I44" s="242"/>
      <c r="J44" s="177" t="s">
        <v>15</v>
      </c>
      <c r="K44" s="177" t="s">
        <v>57</v>
      </c>
      <c r="L44" s="177" t="s">
        <v>16</v>
      </c>
      <c r="M44" s="177" t="s">
        <v>17</v>
      </c>
      <c r="N44" s="177" t="s">
        <v>18</v>
      </c>
      <c r="O44" s="177" t="s">
        <v>19</v>
      </c>
      <c r="P44" s="177" t="s">
        <v>20</v>
      </c>
      <c r="Q44" s="177" t="s">
        <v>58</v>
      </c>
      <c r="R44" s="177" t="s">
        <v>59</v>
      </c>
      <c r="S44" s="177" t="s">
        <v>21</v>
      </c>
      <c r="T44" s="177" t="s">
        <v>22</v>
      </c>
      <c r="U44" s="9"/>
      <c r="V44" s="22"/>
      <c r="W44" s="22"/>
      <c r="X44" s="22"/>
    </row>
    <row r="45" spans="1:25" s="1" customFormat="1" ht="11.25" customHeight="1" x14ac:dyDescent="0.2">
      <c r="A45" s="182">
        <v>1</v>
      </c>
      <c r="B45" s="256">
        <v>2</v>
      </c>
      <c r="C45" s="257"/>
      <c r="D45" s="37">
        <v>3</v>
      </c>
      <c r="E45" s="37"/>
      <c r="F45" s="101">
        <v>4</v>
      </c>
      <c r="G45" s="37">
        <v>5</v>
      </c>
      <c r="H45" s="37">
        <v>6</v>
      </c>
      <c r="I45" s="37">
        <v>7</v>
      </c>
      <c r="J45" s="37">
        <v>8</v>
      </c>
      <c r="K45" s="37">
        <v>9</v>
      </c>
      <c r="L45" s="37">
        <v>10</v>
      </c>
      <c r="M45" s="37">
        <v>11</v>
      </c>
      <c r="N45" s="37">
        <v>12</v>
      </c>
      <c r="O45" s="37">
        <v>13</v>
      </c>
      <c r="P45" s="37">
        <v>14</v>
      </c>
      <c r="Q45" s="37">
        <v>15</v>
      </c>
      <c r="R45" s="37">
        <v>16</v>
      </c>
      <c r="S45" s="37">
        <v>17</v>
      </c>
      <c r="T45" s="37">
        <v>18</v>
      </c>
      <c r="U45" s="10"/>
      <c r="V45" s="23"/>
      <c r="W45" s="23"/>
      <c r="X45" s="23"/>
    </row>
    <row r="46" spans="1:25" s="1" customFormat="1" ht="11.25" customHeight="1" x14ac:dyDescent="0.2">
      <c r="A46" s="237" t="str">
        <f>A115</f>
        <v>Завтрак молочный</v>
      </c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9"/>
      <c r="U46" s="11"/>
      <c r="V46" s="24"/>
      <c r="W46" s="24"/>
      <c r="X46" s="24"/>
    </row>
    <row r="47" spans="1:25" s="129" customFormat="1" ht="11.25" customHeight="1" x14ac:dyDescent="0.2">
      <c r="A47" s="132" t="s">
        <v>66</v>
      </c>
      <c r="B47" s="253" t="s">
        <v>98</v>
      </c>
      <c r="C47" s="253"/>
      <c r="D47" s="131">
        <v>20</v>
      </c>
      <c r="E47" s="130">
        <v>6.4</v>
      </c>
      <c r="F47" s="130">
        <v>1.25</v>
      </c>
      <c r="G47" s="130"/>
      <c r="H47" s="130">
        <v>9.5</v>
      </c>
      <c r="I47" s="130">
        <v>43</v>
      </c>
      <c r="J47" s="130">
        <v>8.0000000000000002E-3</v>
      </c>
      <c r="K47" s="130">
        <v>7.0000000000000001E-3</v>
      </c>
      <c r="L47" s="130">
        <v>0.16</v>
      </c>
      <c r="M47" s="130">
        <v>8.0000000000000002E-3</v>
      </c>
      <c r="N47" s="130">
        <v>0.03</v>
      </c>
      <c r="O47" s="130">
        <v>51.16</v>
      </c>
      <c r="P47" s="130">
        <v>36.5</v>
      </c>
      <c r="Q47" s="130">
        <v>0.16</v>
      </c>
      <c r="R47" s="130">
        <v>2E-3</v>
      </c>
      <c r="S47" s="130">
        <v>5.66</v>
      </c>
      <c r="T47" s="130">
        <v>0.03</v>
      </c>
    </row>
    <row r="48" spans="1:25" s="129" customFormat="1" ht="21" customHeight="1" x14ac:dyDescent="0.2">
      <c r="A48" s="135">
        <v>222</v>
      </c>
      <c r="B48" s="254" t="s">
        <v>97</v>
      </c>
      <c r="C48" s="255"/>
      <c r="D48" s="131">
        <v>170</v>
      </c>
      <c r="E48" s="130">
        <v>46.22</v>
      </c>
      <c r="F48" s="136">
        <v>14.92</v>
      </c>
      <c r="G48" s="136">
        <v>14.38</v>
      </c>
      <c r="H48" s="136">
        <v>31.51</v>
      </c>
      <c r="I48" s="136">
        <v>315.14</v>
      </c>
      <c r="J48" s="136">
        <v>0.26</v>
      </c>
      <c r="K48" s="136">
        <v>0.40799999999999997</v>
      </c>
      <c r="L48" s="136">
        <v>0.93500000000000005</v>
      </c>
      <c r="M48" s="136">
        <v>0.21299999999999999</v>
      </c>
      <c r="N48" s="136">
        <v>1.36</v>
      </c>
      <c r="O48" s="136">
        <v>215.96</v>
      </c>
      <c r="P48" s="136">
        <v>414.6</v>
      </c>
      <c r="Q48" s="136">
        <v>1.2</v>
      </c>
      <c r="R48" s="136">
        <v>0.02</v>
      </c>
      <c r="S48" s="136">
        <v>93.882999999999996</v>
      </c>
      <c r="T48" s="136">
        <v>2.5329999999999999</v>
      </c>
    </row>
    <row r="49" spans="1:24" s="140" customFormat="1" ht="11.25" customHeight="1" x14ac:dyDescent="0.2">
      <c r="A49" s="182">
        <v>382</v>
      </c>
      <c r="B49" s="223" t="s">
        <v>91</v>
      </c>
      <c r="C49" s="224"/>
      <c r="D49" s="147">
        <v>200</v>
      </c>
      <c r="E49" s="148">
        <v>14.3</v>
      </c>
      <c r="F49" s="148">
        <f>3.5*D49/200</f>
        <v>3.5</v>
      </c>
      <c r="G49" s="148">
        <f>3.7*D49/200</f>
        <v>3.7</v>
      </c>
      <c r="H49" s="148">
        <f>25.5*D49/200</f>
        <v>25.5</v>
      </c>
      <c r="I49" s="148">
        <f>F49*4+G49*9+H49*4</f>
        <v>149.30000000000001</v>
      </c>
      <c r="J49" s="148">
        <f>0.06*D49/200</f>
        <v>0.06</v>
      </c>
      <c r="K49" s="148">
        <f>0.006*D49/200</f>
        <v>6.0000000000000001E-3</v>
      </c>
      <c r="L49" s="148">
        <f>1.6*D49/200</f>
        <v>1.6</v>
      </c>
      <c r="M49" s="149">
        <f>0.04*D49/200</f>
        <v>0.04</v>
      </c>
      <c r="N49" s="148">
        <f>0.4*D49/200</f>
        <v>0.4</v>
      </c>
      <c r="O49" s="148">
        <f>102.6*D49/200</f>
        <v>102.6</v>
      </c>
      <c r="P49" s="148">
        <f>178.4*D49/200</f>
        <v>178.4</v>
      </c>
      <c r="Q49" s="148">
        <f>1*D49/200</f>
        <v>1</v>
      </c>
      <c r="R49" s="149">
        <f>0.001*D49/200</f>
        <v>1E-3</v>
      </c>
      <c r="S49" s="148">
        <f>24.8*D49/200</f>
        <v>24.8</v>
      </c>
      <c r="T49" s="148">
        <f>0.48*D49/200</f>
        <v>0.48</v>
      </c>
      <c r="U49" s="150"/>
      <c r="V49" s="151"/>
      <c r="W49" s="151"/>
      <c r="X49" s="151"/>
    </row>
    <row r="50" spans="1:24" s="140" customFormat="1" ht="12.75" customHeight="1" x14ac:dyDescent="0.2">
      <c r="A50" s="153" t="s">
        <v>66</v>
      </c>
      <c r="B50" s="223" t="s">
        <v>53</v>
      </c>
      <c r="C50" s="224"/>
      <c r="D50" s="147">
        <v>40</v>
      </c>
      <c r="E50" s="148">
        <v>3.08</v>
      </c>
      <c r="F50" s="148">
        <f>1.52*D50/30</f>
        <v>2.0266666666666664</v>
      </c>
      <c r="G50" s="149">
        <f>0.16*D50/30</f>
        <v>0.21333333333333335</v>
      </c>
      <c r="H50" s="149">
        <f>9.84*D50/30</f>
        <v>13.120000000000001</v>
      </c>
      <c r="I50" s="149">
        <f>F50*4+G50*9+H50*4</f>
        <v>62.506666666666668</v>
      </c>
      <c r="J50" s="149">
        <f>0.02*D50/30</f>
        <v>2.6666666666666668E-2</v>
      </c>
      <c r="K50" s="149">
        <f>0.01*D50/30</f>
        <v>1.3333333333333334E-2</v>
      </c>
      <c r="L50" s="149">
        <f>0.44*D50/30</f>
        <v>0.58666666666666667</v>
      </c>
      <c r="M50" s="149">
        <v>0</v>
      </c>
      <c r="N50" s="149">
        <f>0.7*D50/30</f>
        <v>0.93333333333333335</v>
      </c>
      <c r="O50" s="149">
        <f>4*D50/30</f>
        <v>5.333333333333333</v>
      </c>
      <c r="P50" s="149">
        <f>13*D50/30</f>
        <v>17.333333333333332</v>
      </c>
      <c r="Q50" s="149">
        <f>0.008*D50/30</f>
        <v>1.0666666666666666E-2</v>
      </c>
      <c r="R50" s="149">
        <f>0.001*D50/30</f>
        <v>1.3333333333333333E-3</v>
      </c>
      <c r="S50" s="149">
        <v>0</v>
      </c>
      <c r="T50" s="149">
        <f>0.22*D50/30</f>
        <v>0.29333333333333333</v>
      </c>
      <c r="U50" s="150"/>
      <c r="V50" s="151"/>
      <c r="W50" s="151"/>
      <c r="X50" s="151"/>
    </row>
    <row r="51" spans="1:24" s="140" customFormat="1" ht="14.25" customHeight="1" x14ac:dyDescent="0.2">
      <c r="A51" s="63" t="str">
        <f>A121</f>
        <v>Итого за Завтрак молочный</v>
      </c>
      <c r="B51" s="64"/>
      <c r="C51" s="64"/>
      <c r="D51" s="65">
        <f t="shared" ref="D51:T51" si="11">SUM(D47:D50)</f>
        <v>430</v>
      </c>
      <c r="E51" s="154">
        <f t="shared" si="11"/>
        <v>70</v>
      </c>
      <c r="F51" s="39">
        <f t="shared" si="11"/>
        <v>21.696666666666669</v>
      </c>
      <c r="G51" s="38">
        <f t="shared" si="11"/>
        <v>18.293333333333337</v>
      </c>
      <c r="H51" s="49">
        <f t="shared" si="11"/>
        <v>79.63000000000001</v>
      </c>
      <c r="I51" s="38">
        <f t="shared" si="11"/>
        <v>569.94666666666672</v>
      </c>
      <c r="J51" s="39">
        <f t="shared" si="11"/>
        <v>0.35466666666666669</v>
      </c>
      <c r="K51" s="39">
        <f t="shared" si="11"/>
        <v>0.43433333333333329</v>
      </c>
      <c r="L51" s="39">
        <f t="shared" si="11"/>
        <v>3.2816666666666672</v>
      </c>
      <c r="M51" s="39">
        <f t="shared" si="11"/>
        <v>0.26100000000000001</v>
      </c>
      <c r="N51" s="40">
        <f t="shared" si="11"/>
        <v>2.7233333333333336</v>
      </c>
      <c r="O51" s="39">
        <f t="shared" si="11"/>
        <v>375.05333333333334</v>
      </c>
      <c r="P51" s="39">
        <f t="shared" si="11"/>
        <v>646.83333333333337</v>
      </c>
      <c r="Q51" s="39">
        <f t="shared" si="11"/>
        <v>2.3706666666666667</v>
      </c>
      <c r="R51" s="40">
        <f t="shared" si="11"/>
        <v>2.4333333333333332E-2</v>
      </c>
      <c r="S51" s="39">
        <f t="shared" si="11"/>
        <v>124.34299999999999</v>
      </c>
      <c r="T51" s="39">
        <f t="shared" si="11"/>
        <v>3.3363333333333332</v>
      </c>
      <c r="U51" s="38"/>
      <c r="V51" s="142"/>
      <c r="W51" s="142"/>
      <c r="X51" s="142"/>
    </row>
    <row r="52" spans="1:24" s="140" customFormat="1" ht="14.25" customHeight="1" x14ac:dyDescent="0.2">
      <c r="A52" s="231" t="s">
        <v>62</v>
      </c>
      <c r="B52" s="232"/>
      <c r="C52" s="232"/>
      <c r="D52" s="233"/>
      <c r="E52" s="181"/>
      <c r="F52" s="76">
        <f t="shared" ref="F52:T52" si="12">F51/F71</f>
        <v>0.24107407407407411</v>
      </c>
      <c r="G52" s="76">
        <f t="shared" si="12"/>
        <v>0.19884057971014496</v>
      </c>
      <c r="H52" s="76">
        <f t="shared" si="12"/>
        <v>0.20791122715404703</v>
      </c>
      <c r="I52" s="76">
        <f t="shared" si="12"/>
        <v>0.20953921568627454</v>
      </c>
      <c r="J52" s="76">
        <f t="shared" si="12"/>
        <v>0.25333333333333335</v>
      </c>
      <c r="K52" s="76">
        <f t="shared" si="12"/>
        <v>0.2714583333333333</v>
      </c>
      <c r="L52" s="76">
        <f t="shared" si="12"/>
        <v>4.6880952380952391E-2</v>
      </c>
      <c r="M52" s="76">
        <f t="shared" si="12"/>
        <v>0.28999999999999998</v>
      </c>
      <c r="N52" s="76">
        <f t="shared" si="12"/>
        <v>0.22694444444444448</v>
      </c>
      <c r="O52" s="44">
        <f t="shared" si="12"/>
        <v>0.31254444444444446</v>
      </c>
      <c r="P52" s="76">
        <f t="shared" si="12"/>
        <v>0.53902777777777777</v>
      </c>
      <c r="Q52" s="76">
        <f t="shared" si="12"/>
        <v>0.16933333333333334</v>
      </c>
      <c r="R52" s="76">
        <f t="shared" si="12"/>
        <v>0.24333333333333332</v>
      </c>
      <c r="S52" s="76">
        <f t="shared" si="12"/>
        <v>0.4144766666666666</v>
      </c>
      <c r="T52" s="44">
        <f t="shared" si="12"/>
        <v>0.18535185185185185</v>
      </c>
      <c r="U52" s="144"/>
      <c r="V52" s="142"/>
      <c r="W52" s="142"/>
      <c r="X52" s="142"/>
    </row>
    <row r="53" spans="1:24" s="140" customFormat="1" ht="11.25" customHeight="1" x14ac:dyDescent="0.2">
      <c r="A53" s="234" t="s">
        <v>28</v>
      </c>
      <c r="B53" s="235"/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6"/>
      <c r="U53" s="11"/>
      <c r="V53" s="24"/>
      <c r="W53" s="24"/>
      <c r="X53" s="24"/>
    </row>
    <row r="54" spans="1:24" s="140" customFormat="1" ht="11.25" hidden="1" customHeight="1" x14ac:dyDescent="0.2">
      <c r="A54" s="85" t="s">
        <v>85</v>
      </c>
      <c r="B54" s="290" t="s">
        <v>84</v>
      </c>
      <c r="C54" s="290"/>
      <c r="D54" s="85"/>
      <c r="E54" s="85"/>
      <c r="F54" s="92">
        <f>0.77*D54/60</f>
        <v>0</v>
      </c>
      <c r="G54" s="85">
        <f>2.04*D54/60</f>
        <v>0</v>
      </c>
      <c r="H54" s="91">
        <f>2.26*D54/60</f>
        <v>0</v>
      </c>
      <c r="I54" s="93">
        <f>F54*4+G54*9+H54*4</f>
        <v>0</v>
      </c>
      <c r="J54" s="91">
        <f>0.02*D54/60</f>
        <v>0</v>
      </c>
      <c r="K54" s="91">
        <f>0.02*D54/60</f>
        <v>0</v>
      </c>
      <c r="L54" s="85">
        <f>19.95*D54/60</f>
        <v>0</v>
      </c>
      <c r="M54" s="91">
        <f>0.01*D54/60</f>
        <v>0</v>
      </c>
      <c r="N54" s="91">
        <f>0.0787*D54/60</f>
        <v>0</v>
      </c>
      <c r="O54" s="92">
        <f>25.7*D54/60</f>
        <v>0</v>
      </c>
      <c r="P54" s="90">
        <f>13.62*D54/60</f>
        <v>0</v>
      </c>
      <c r="Q54" s="91">
        <f>0.17*D54/60</f>
        <v>0</v>
      </c>
      <c r="R54" s="85">
        <f>0.03*D54/60</f>
        <v>0</v>
      </c>
      <c r="S54" s="92">
        <f>9*D54/60</f>
        <v>0</v>
      </c>
      <c r="T54" s="92">
        <f>0.28*D54/60</f>
        <v>0</v>
      </c>
      <c r="U54" s="11"/>
      <c r="V54" s="24"/>
      <c r="W54" s="24"/>
      <c r="X54" s="24"/>
    </row>
    <row r="55" spans="1:24" s="140" customFormat="1" ht="13.5" customHeight="1" x14ac:dyDescent="0.2">
      <c r="A55" s="153">
        <v>52</v>
      </c>
      <c r="B55" s="223" t="s">
        <v>54</v>
      </c>
      <c r="C55" s="224"/>
      <c r="D55" s="147">
        <v>100</v>
      </c>
      <c r="E55" s="148">
        <v>8.32</v>
      </c>
      <c r="F55" s="148">
        <f>0.86*D55/60</f>
        <v>1.4333333333333333</v>
      </c>
      <c r="G55" s="148">
        <f>3.05*D55/60</f>
        <v>5.083333333333333</v>
      </c>
      <c r="H55" s="148">
        <f>5.13*D55/60</f>
        <v>8.5500000000000007</v>
      </c>
      <c r="I55" s="148">
        <f>F55*4+G55*9+H55*4</f>
        <v>85.683333333333337</v>
      </c>
      <c r="J55" s="148">
        <f>0.01*D55/60</f>
        <v>1.6666666666666666E-2</v>
      </c>
      <c r="K55" s="148">
        <f>0.02*D55/60</f>
        <v>3.3333333333333333E-2</v>
      </c>
      <c r="L55" s="146">
        <f>5.7*D55/60</f>
        <v>9.5</v>
      </c>
      <c r="M55" s="148">
        <f>0.01*D55/60</f>
        <v>1.6666666666666666E-2</v>
      </c>
      <c r="N55" s="148">
        <f>0.1*D55/60</f>
        <v>0.16666666666666666</v>
      </c>
      <c r="O55" s="148">
        <f>26.61*D55/60</f>
        <v>44.35</v>
      </c>
      <c r="P55" s="148">
        <f>25.64*D55/60</f>
        <v>42.733333333333334</v>
      </c>
      <c r="Q55" s="148">
        <f>0.43*D55/60</f>
        <v>0.71666666666666667</v>
      </c>
      <c r="R55" s="149">
        <f>0.01*D55/60</f>
        <v>1.6666666666666666E-2</v>
      </c>
      <c r="S55" s="146">
        <f>12.87*D55/60</f>
        <v>21.45</v>
      </c>
      <c r="T55" s="148">
        <f>0.84*D55/60</f>
        <v>1.4</v>
      </c>
      <c r="U55" s="150"/>
      <c r="V55" s="151"/>
      <c r="W55" s="151"/>
      <c r="X55" s="151"/>
    </row>
    <row r="56" spans="1:24" s="140" customFormat="1" ht="22.5" customHeight="1" x14ac:dyDescent="0.2">
      <c r="A56" s="182">
        <v>82</v>
      </c>
      <c r="B56" s="223" t="s">
        <v>99</v>
      </c>
      <c r="C56" s="224"/>
      <c r="D56" s="145">
        <v>250</v>
      </c>
      <c r="E56" s="145">
        <v>13.62</v>
      </c>
      <c r="F56" s="148">
        <v>2.4300000000000002</v>
      </c>
      <c r="G56" s="148">
        <v>3.12</v>
      </c>
      <c r="H56" s="148">
        <v>12.01</v>
      </c>
      <c r="I56" s="148">
        <f t="shared" ref="I56:I61" si="13">F56*4+G56*9+H56*4</f>
        <v>85.84</v>
      </c>
      <c r="J56" s="145">
        <v>6.4000000000000001E-2</v>
      </c>
      <c r="K56" s="145">
        <v>6.4000000000000001E-2</v>
      </c>
      <c r="L56" s="148">
        <v>20.98</v>
      </c>
      <c r="M56" s="149">
        <v>7.5999999999999998E-2</v>
      </c>
      <c r="N56" s="148">
        <v>0.25700000000000001</v>
      </c>
      <c r="O56" s="148">
        <v>49.59</v>
      </c>
      <c r="P56" s="148">
        <v>58.68</v>
      </c>
      <c r="Q56" s="148">
        <v>0.746</v>
      </c>
      <c r="R56" s="149">
        <v>1.0999999999999999E-2</v>
      </c>
      <c r="S56" s="148">
        <v>25.43</v>
      </c>
      <c r="T56" s="148">
        <v>1.32</v>
      </c>
      <c r="U56" s="150"/>
      <c r="V56" s="151"/>
      <c r="W56" s="151"/>
      <c r="X56" s="151"/>
    </row>
    <row r="57" spans="1:24" s="140" customFormat="1" ht="21.75" customHeight="1" x14ac:dyDescent="0.2">
      <c r="A57" s="67">
        <v>268</v>
      </c>
      <c r="B57" s="223" t="s">
        <v>94</v>
      </c>
      <c r="C57" s="224"/>
      <c r="D57" s="79">
        <v>100</v>
      </c>
      <c r="E57" s="79">
        <v>47.22</v>
      </c>
      <c r="F57" s="178">
        <f>14.8*D57/80</f>
        <v>18.5</v>
      </c>
      <c r="G57" s="178">
        <f>20.69*D57/80</f>
        <v>25.862500000000001</v>
      </c>
      <c r="H57" s="178">
        <f>3.81*D57/80</f>
        <v>4.7625000000000002</v>
      </c>
      <c r="I57" s="178">
        <f t="shared" si="13"/>
        <v>325.81250000000006</v>
      </c>
      <c r="J57" s="80">
        <f>0.18*D57/80</f>
        <v>0.22500000000000001</v>
      </c>
      <c r="K57" s="178">
        <f>0.12*D57/80</f>
        <v>0.15</v>
      </c>
      <c r="L57" s="178">
        <f>0.43*D57/80</f>
        <v>0.53749999999999998</v>
      </c>
      <c r="M57" s="80">
        <v>9.9000000000000005E-2</v>
      </c>
      <c r="N57" s="80">
        <f>0.01*D57/80</f>
        <v>1.2500000000000001E-2</v>
      </c>
      <c r="O57" s="178">
        <f>48.45*D57/80</f>
        <v>60.5625</v>
      </c>
      <c r="P57" s="178">
        <f>177.9*D57/80</f>
        <v>222.375</v>
      </c>
      <c r="Q57" s="80">
        <f>2.28*D57/80</f>
        <v>2.8499999999999996</v>
      </c>
      <c r="R57" s="80">
        <f>0.04*D57/80</f>
        <v>0.05</v>
      </c>
      <c r="S57" s="178">
        <f>24.45*D57/80</f>
        <v>30.5625</v>
      </c>
      <c r="T57" s="178">
        <f>1.93*D57/80</f>
        <v>2.4125000000000001</v>
      </c>
      <c r="U57" s="32"/>
      <c r="V57" s="33"/>
      <c r="W57" s="33"/>
      <c r="X57" s="33"/>
    </row>
    <row r="58" spans="1:24" s="140" customFormat="1" ht="19.5" customHeight="1" x14ac:dyDescent="0.2">
      <c r="A58" s="182">
        <v>304</v>
      </c>
      <c r="B58" s="258" t="s">
        <v>101</v>
      </c>
      <c r="C58" s="258"/>
      <c r="D58" s="147">
        <v>180</v>
      </c>
      <c r="E58" s="148">
        <v>8.1999999999999993</v>
      </c>
      <c r="F58" s="148">
        <v>4.4400000000000004</v>
      </c>
      <c r="G58" s="148">
        <v>6.44</v>
      </c>
      <c r="H58" s="148">
        <v>44.01</v>
      </c>
      <c r="I58" s="148">
        <v>251.82</v>
      </c>
      <c r="J58" s="148">
        <v>3.5999999999999997E-2</v>
      </c>
      <c r="K58" s="145">
        <v>2.4E-2</v>
      </c>
      <c r="L58" s="148">
        <v>0</v>
      </c>
      <c r="M58" s="145">
        <v>4.8000000000000001E-2</v>
      </c>
      <c r="N58" s="146">
        <v>0</v>
      </c>
      <c r="O58" s="146">
        <v>17.93</v>
      </c>
      <c r="P58" s="147">
        <v>95.25</v>
      </c>
      <c r="Q58" s="152">
        <v>0</v>
      </c>
      <c r="R58" s="146">
        <v>1E-3</v>
      </c>
      <c r="S58" s="148">
        <v>33.47</v>
      </c>
      <c r="T58" s="150">
        <v>0.70799999999999996</v>
      </c>
      <c r="U58" s="151"/>
      <c r="V58" s="151"/>
      <c r="W58" s="151"/>
      <c r="X58" s="151"/>
    </row>
    <row r="59" spans="1:24" x14ac:dyDescent="0.2">
      <c r="A59" s="189">
        <v>699</v>
      </c>
      <c r="B59" s="251" t="s">
        <v>111</v>
      </c>
      <c r="C59" s="252"/>
      <c r="D59" s="190">
        <v>200</v>
      </c>
      <c r="E59" s="191">
        <v>7.5</v>
      </c>
      <c r="F59" s="191">
        <v>0.1</v>
      </c>
      <c r="G59" s="192">
        <v>0</v>
      </c>
      <c r="H59" s="193">
        <v>15.7</v>
      </c>
      <c r="I59" s="191">
        <v>63.2</v>
      </c>
      <c r="J59" s="192">
        <v>1.7999999999999999E-2</v>
      </c>
      <c r="K59" s="192">
        <v>1.2E-2</v>
      </c>
      <c r="L59" s="193">
        <v>8</v>
      </c>
      <c r="M59" s="192">
        <v>0</v>
      </c>
      <c r="N59" s="191">
        <v>0.2</v>
      </c>
      <c r="O59" s="191">
        <v>10.8</v>
      </c>
      <c r="P59" s="191">
        <v>1.7</v>
      </c>
      <c r="Q59" s="191">
        <v>0</v>
      </c>
      <c r="R59" s="194">
        <v>0</v>
      </c>
      <c r="S59" s="191">
        <v>5.8</v>
      </c>
      <c r="T59" s="191">
        <v>1.6</v>
      </c>
      <c r="U59"/>
      <c r="V59"/>
      <c r="W59"/>
      <c r="X59"/>
    </row>
    <row r="60" spans="1:24" s="140" customFormat="1" ht="11.25" customHeight="1" x14ac:dyDescent="0.2">
      <c r="A60" s="78" t="s">
        <v>66</v>
      </c>
      <c r="B60" s="223" t="s">
        <v>46</v>
      </c>
      <c r="C60" s="224"/>
      <c r="D60" s="147">
        <v>40</v>
      </c>
      <c r="E60" s="148">
        <v>2.04</v>
      </c>
      <c r="F60" s="148">
        <f>2.64*D60/40</f>
        <v>2.64</v>
      </c>
      <c r="G60" s="148">
        <f>0.48*D60/40</f>
        <v>0.48</v>
      </c>
      <c r="H60" s="148">
        <f>13.68*D60/40</f>
        <v>13.680000000000001</v>
      </c>
      <c r="I60" s="148">
        <f t="shared" si="13"/>
        <v>69.600000000000009</v>
      </c>
      <c r="J60" s="145">
        <f>0.08*D60/40</f>
        <v>0.08</v>
      </c>
      <c r="K60" s="148">
        <f>0.04*D60/40</f>
        <v>0.04</v>
      </c>
      <c r="L60" s="147">
        <v>0</v>
      </c>
      <c r="M60" s="147">
        <v>0</v>
      </c>
      <c r="N60" s="148">
        <f>2.4*D60/40</f>
        <v>2.4</v>
      </c>
      <c r="O60" s="148">
        <f>14*D60/40</f>
        <v>14</v>
      </c>
      <c r="P60" s="148">
        <f>63.2*D60/40</f>
        <v>63.2</v>
      </c>
      <c r="Q60" s="148">
        <f>1.2*D60/40</f>
        <v>1.2</v>
      </c>
      <c r="R60" s="149">
        <f>0.001*D60/40</f>
        <v>1E-3</v>
      </c>
      <c r="S60" s="148">
        <f>9.4*D60/40</f>
        <v>9.4</v>
      </c>
      <c r="T60" s="145">
        <f>0.78*D60/40</f>
        <v>0.78</v>
      </c>
      <c r="U60" s="30"/>
      <c r="V60" s="31"/>
      <c r="W60" s="31"/>
      <c r="X60" s="31"/>
    </row>
    <row r="61" spans="1:24" s="140" customFormat="1" ht="11.25" customHeight="1" x14ac:dyDescent="0.2">
      <c r="A61" s="153" t="s">
        <v>66</v>
      </c>
      <c r="B61" s="223" t="s">
        <v>53</v>
      </c>
      <c r="C61" s="224"/>
      <c r="D61" s="147">
        <v>40</v>
      </c>
      <c r="E61" s="148">
        <v>3.1</v>
      </c>
      <c r="F61" s="148">
        <f>1.52*D61/30</f>
        <v>2.0266666666666664</v>
      </c>
      <c r="G61" s="149">
        <f>0.16*D61/30</f>
        <v>0.21333333333333335</v>
      </c>
      <c r="H61" s="149">
        <f>9.84*D61/30</f>
        <v>13.120000000000001</v>
      </c>
      <c r="I61" s="149">
        <f t="shared" si="13"/>
        <v>62.506666666666668</v>
      </c>
      <c r="J61" s="149">
        <f>0.02*D61/30</f>
        <v>2.6666666666666668E-2</v>
      </c>
      <c r="K61" s="149">
        <f>0.01*D61/30</f>
        <v>1.3333333333333334E-2</v>
      </c>
      <c r="L61" s="149">
        <f>0.44*D61/30</f>
        <v>0.58666666666666667</v>
      </c>
      <c r="M61" s="149">
        <v>0</v>
      </c>
      <c r="N61" s="149">
        <f>0.7*D61/30</f>
        <v>0.93333333333333335</v>
      </c>
      <c r="O61" s="149">
        <f>4*D61/30</f>
        <v>5.333333333333333</v>
      </c>
      <c r="P61" s="149">
        <f>13*D61/30</f>
        <v>17.333333333333332</v>
      </c>
      <c r="Q61" s="149">
        <f>0.008*D61/30</f>
        <v>1.0666666666666666E-2</v>
      </c>
      <c r="R61" s="149">
        <f>0.001*D61/30</f>
        <v>1.3333333333333333E-3</v>
      </c>
      <c r="S61" s="149">
        <v>0</v>
      </c>
      <c r="T61" s="149">
        <f>0.22*D61/30</f>
        <v>0.29333333333333333</v>
      </c>
      <c r="U61" s="150"/>
      <c r="V61" s="151"/>
      <c r="W61" s="151"/>
      <c r="X61" s="151"/>
    </row>
    <row r="62" spans="1:24" s="140" customFormat="1" ht="11.25" customHeight="1" x14ac:dyDescent="0.2">
      <c r="A62" s="61" t="s">
        <v>29</v>
      </c>
      <c r="B62" s="62"/>
      <c r="C62" s="62"/>
      <c r="D62" s="65">
        <f t="shared" ref="D62:I62" si="14">SUM(D55:D61)</f>
        <v>910</v>
      </c>
      <c r="E62" s="154">
        <f t="shared" si="14"/>
        <v>90</v>
      </c>
      <c r="F62" s="39">
        <f t="shared" si="14"/>
        <v>31.570000000000004</v>
      </c>
      <c r="G62" s="38">
        <f t="shared" si="14"/>
        <v>41.199166666666656</v>
      </c>
      <c r="H62" s="38">
        <f t="shared" si="14"/>
        <v>111.83250000000001</v>
      </c>
      <c r="I62" s="38">
        <f t="shared" si="14"/>
        <v>944.4625000000002</v>
      </c>
      <c r="J62" s="39">
        <f t="shared" ref="J62:S62" si="15">SUM(J55:J61)</f>
        <v>0.46633333333333332</v>
      </c>
      <c r="K62" s="39">
        <f t="shared" si="15"/>
        <v>0.33666666666666661</v>
      </c>
      <c r="L62" s="38">
        <f t="shared" si="15"/>
        <v>39.604166666666664</v>
      </c>
      <c r="M62" s="39">
        <f t="shared" si="15"/>
        <v>0.23966666666666664</v>
      </c>
      <c r="N62" s="43">
        <f t="shared" si="15"/>
        <v>3.9695</v>
      </c>
      <c r="O62" s="38">
        <f t="shared" si="15"/>
        <v>202.56583333333336</v>
      </c>
      <c r="P62" s="39">
        <f t="shared" si="15"/>
        <v>501.27166666666659</v>
      </c>
      <c r="Q62" s="38">
        <f t="shared" si="15"/>
        <v>5.5233333333333334</v>
      </c>
      <c r="R62" s="40">
        <f t="shared" si="15"/>
        <v>8.1000000000000003E-2</v>
      </c>
      <c r="S62" s="49">
        <f t="shared" si="15"/>
        <v>126.1125</v>
      </c>
      <c r="T62" s="39">
        <f>SUM(T55:T61)</f>
        <v>8.5138333333333325</v>
      </c>
      <c r="U62" s="38"/>
      <c r="V62" s="142"/>
      <c r="W62" s="142"/>
      <c r="X62" s="142"/>
    </row>
    <row r="63" spans="1:24" s="140" customFormat="1" ht="11.25" customHeight="1" x14ac:dyDescent="0.2">
      <c r="A63" s="231" t="s">
        <v>62</v>
      </c>
      <c r="B63" s="232"/>
      <c r="C63" s="232"/>
      <c r="D63" s="233"/>
      <c r="E63" s="180"/>
      <c r="F63" s="155">
        <f t="shared" ref="F63:T63" si="16">F62/F71</f>
        <v>0.3507777777777778</v>
      </c>
      <c r="G63" s="76">
        <f t="shared" si="16"/>
        <v>0.44781702898550713</v>
      </c>
      <c r="H63" s="76">
        <f t="shared" si="16"/>
        <v>0.291990861618799</v>
      </c>
      <c r="I63" s="76">
        <f t="shared" si="16"/>
        <v>0.3472288602941177</v>
      </c>
      <c r="J63" s="76">
        <f t="shared" si="16"/>
        <v>0.33309523809523811</v>
      </c>
      <c r="K63" s="76">
        <f t="shared" si="16"/>
        <v>0.21041666666666661</v>
      </c>
      <c r="L63" s="76">
        <f t="shared" si="16"/>
        <v>0.56577380952380951</v>
      </c>
      <c r="M63" s="76">
        <f t="shared" si="16"/>
        <v>0.26629629629629625</v>
      </c>
      <c r="N63" s="76">
        <f t="shared" si="16"/>
        <v>0.33079166666666665</v>
      </c>
      <c r="O63" s="44">
        <f t="shared" si="16"/>
        <v>0.16880486111111112</v>
      </c>
      <c r="P63" s="76">
        <f t="shared" si="16"/>
        <v>0.4177263888888888</v>
      </c>
      <c r="Q63" s="76">
        <f t="shared" si="16"/>
        <v>0.39452380952380955</v>
      </c>
      <c r="R63" s="76">
        <f t="shared" si="16"/>
        <v>0.80999999999999994</v>
      </c>
      <c r="S63" s="76">
        <f t="shared" si="16"/>
        <v>0.420375</v>
      </c>
      <c r="T63" s="44">
        <f t="shared" si="16"/>
        <v>0.47299074074074071</v>
      </c>
      <c r="U63" s="144"/>
      <c r="V63" s="142"/>
      <c r="W63" s="142"/>
      <c r="X63" s="142"/>
    </row>
    <row r="64" spans="1:24" s="140" customFormat="1" ht="11.25" hidden="1" customHeight="1" x14ac:dyDescent="0.2">
      <c r="A64" s="179"/>
      <c r="B64" s="180"/>
      <c r="C64" s="180"/>
      <c r="D64" s="180"/>
      <c r="E64" s="171">
        <f>90-E62</f>
        <v>0</v>
      </c>
      <c r="F64" s="155"/>
      <c r="G64" s="155"/>
      <c r="H64" s="155"/>
      <c r="I64" s="155"/>
      <c r="J64" s="155"/>
      <c r="K64" s="155"/>
      <c r="L64" s="155"/>
      <c r="M64" s="155"/>
      <c r="N64" s="155"/>
      <c r="O64" s="168"/>
      <c r="P64" s="155"/>
      <c r="Q64" s="155"/>
      <c r="R64" s="155"/>
      <c r="S64" s="155"/>
      <c r="T64" s="169"/>
      <c r="U64" s="144"/>
      <c r="V64" s="142"/>
      <c r="W64" s="142"/>
      <c r="X64" s="142"/>
    </row>
    <row r="65" spans="1:24" s="140" customFormat="1" ht="11.25" customHeight="1" x14ac:dyDescent="0.2">
      <c r="A65" s="234" t="s">
        <v>30</v>
      </c>
      <c r="B65" s="235"/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6"/>
      <c r="U65" s="11"/>
      <c r="V65" s="24"/>
      <c r="W65" s="24"/>
      <c r="X65" s="24"/>
    </row>
    <row r="66" spans="1:24" s="129" customFormat="1" ht="11.25" customHeight="1" x14ac:dyDescent="0.2">
      <c r="A66" s="135"/>
      <c r="B66" s="253"/>
      <c r="C66" s="253"/>
      <c r="D66" s="131"/>
      <c r="E66" s="130"/>
      <c r="F66" s="130"/>
      <c r="G66" s="203"/>
      <c r="H66" s="203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</row>
    <row r="67" spans="1:24" s="129" customFormat="1" ht="12.75" customHeight="1" x14ac:dyDescent="0.2">
      <c r="A67" s="205"/>
      <c r="B67" s="225"/>
      <c r="C67" s="225"/>
      <c r="D67" s="206"/>
      <c r="E67" s="136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</row>
    <row r="68" spans="1:24" s="1" customFormat="1" ht="11.25" customHeight="1" x14ac:dyDescent="0.2">
      <c r="A68" s="61" t="s">
        <v>31</v>
      </c>
      <c r="B68" s="62"/>
      <c r="C68" s="62"/>
      <c r="D68" s="65">
        <f t="shared" ref="D68:I68" si="17">SUM(D66:D67)</f>
        <v>0</v>
      </c>
      <c r="E68" s="154">
        <f t="shared" si="17"/>
        <v>0</v>
      </c>
      <c r="F68" s="39">
        <f t="shared" si="17"/>
        <v>0</v>
      </c>
      <c r="G68" s="38">
        <f t="shared" si="17"/>
        <v>0</v>
      </c>
      <c r="H68" s="38">
        <f t="shared" si="17"/>
        <v>0</v>
      </c>
      <c r="I68" s="38">
        <f t="shared" si="17"/>
        <v>0</v>
      </c>
      <c r="J68" s="39">
        <f t="shared" ref="J68:T68" si="18">SUM(J66:J67)</f>
        <v>0</v>
      </c>
      <c r="K68" s="39">
        <f t="shared" si="18"/>
        <v>0</v>
      </c>
      <c r="L68" s="38">
        <f t="shared" si="18"/>
        <v>0</v>
      </c>
      <c r="M68" s="39">
        <f t="shared" si="18"/>
        <v>0</v>
      </c>
      <c r="N68" s="38">
        <f t="shared" si="18"/>
        <v>0</v>
      </c>
      <c r="O68" s="38">
        <f t="shared" si="18"/>
        <v>0</v>
      </c>
      <c r="P68" s="38">
        <f t="shared" si="18"/>
        <v>0</v>
      </c>
      <c r="Q68" s="38">
        <f t="shared" si="18"/>
        <v>0</v>
      </c>
      <c r="R68" s="40">
        <f t="shared" si="18"/>
        <v>0</v>
      </c>
      <c r="S68" s="38">
        <f t="shared" si="18"/>
        <v>0</v>
      </c>
      <c r="T68" s="39">
        <f t="shared" si="18"/>
        <v>0</v>
      </c>
      <c r="U68" s="38"/>
      <c r="V68" s="142"/>
      <c r="W68" s="142"/>
      <c r="X68" s="142"/>
    </row>
    <row r="69" spans="1:24" s="1" customFormat="1" ht="11.25" customHeight="1" x14ac:dyDescent="0.2">
      <c r="A69" s="231" t="s">
        <v>62</v>
      </c>
      <c r="B69" s="232"/>
      <c r="C69" s="232"/>
      <c r="D69" s="233"/>
      <c r="E69" s="181"/>
      <c r="F69" s="76">
        <f>F68/F71</f>
        <v>0</v>
      </c>
      <c r="G69" s="76">
        <f t="shared" ref="G69:T69" si="19">G68/G71</f>
        <v>0</v>
      </c>
      <c r="H69" s="76">
        <f t="shared" si="19"/>
        <v>0</v>
      </c>
      <c r="I69" s="76">
        <f t="shared" si="19"/>
        <v>0</v>
      </c>
      <c r="J69" s="76">
        <f t="shared" si="19"/>
        <v>0</v>
      </c>
      <c r="K69" s="76">
        <f t="shared" si="19"/>
        <v>0</v>
      </c>
      <c r="L69" s="76">
        <f t="shared" si="19"/>
        <v>0</v>
      </c>
      <c r="M69" s="76">
        <f t="shared" si="19"/>
        <v>0</v>
      </c>
      <c r="N69" s="76">
        <f t="shared" si="19"/>
        <v>0</v>
      </c>
      <c r="O69" s="76">
        <f t="shared" si="19"/>
        <v>0</v>
      </c>
      <c r="P69" s="76">
        <f t="shared" si="19"/>
        <v>0</v>
      </c>
      <c r="Q69" s="76">
        <f t="shared" si="19"/>
        <v>0</v>
      </c>
      <c r="R69" s="76">
        <f t="shared" si="19"/>
        <v>0</v>
      </c>
      <c r="S69" s="76">
        <f t="shared" si="19"/>
        <v>0</v>
      </c>
      <c r="T69" s="44">
        <f t="shared" si="19"/>
        <v>0</v>
      </c>
      <c r="U69" s="144"/>
      <c r="V69" s="142"/>
      <c r="W69" s="142"/>
      <c r="X69" s="142"/>
    </row>
    <row r="70" spans="1:24" s="1" customFormat="1" ht="11.25" customHeight="1" x14ac:dyDescent="0.2">
      <c r="A70" s="261" t="s">
        <v>61</v>
      </c>
      <c r="B70" s="262"/>
      <c r="C70" s="262"/>
      <c r="D70" s="263"/>
      <c r="E70" s="174"/>
      <c r="F70" s="39">
        <f t="shared" ref="F70:T70" si="20">SUM(F51,F62,F68)</f>
        <v>53.266666666666673</v>
      </c>
      <c r="G70" s="38">
        <f t="shared" si="20"/>
        <v>59.492499999999993</v>
      </c>
      <c r="H70" s="38">
        <f t="shared" si="20"/>
        <v>191.46250000000003</v>
      </c>
      <c r="I70" s="38">
        <f t="shared" si="20"/>
        <v>1514.4091666666668</v>
      </c>
      <c r="J70" s="39">
        <f t="shared" si="20"/>
        <v>0.82099999999999995</v>
      </c>
      <c r="K70" s="39">
        <f t="shared" si="20"/>
        <v>0.77099999999999991</v>
      </c>
      <c r="L70" s="49">
        <f t="shared" si="20"/>
        <v>42.885833333333331</v>
      </c>
      <c r="M70" s="39">
        <f t="shared" si="20"/>
        <v>0.50066666666666659</v>
      </c>
      <c r="N70" s="49">
        <f t="shared" si="20"/>
        <v>6.6928333333333336</v>
      </c>
      <c r="O70" s="38">
        <f t="shared" si="20"/>
        <v>577.61916666666673</v>
      </c>
      <c r="P70" s="38">
        <f t="shared" si="20"/>
        <v>1148.105</v>
      </c>
      <c r="Q70" s="38">
        <f t="shared" si="20"/>
        <v>7.8940000000000001</v>
      </c>
      <c r="R70" s="40">
        <f t="shared" si="20"/>
        <v>0.10533333333333333</v>
      </c>
      <c r="S70" s="39">
        <f t="shared" si="20"/>
        <v>250.45549999999997</v>
      </c>
      <c r="T70" s="39">
        <f t="shared" si="20"/>
        <v>11.850166666666667</v>
      </c>
      <c r="U70" s="42"/>
      <c r="V70" s="142"/>
      <c r="W70" s="142"/>
      <c r="X70" s="142"/>
    </row>
    <row r="71" spans="1:24" s="1" customFormat="1" ht="11.25" customHeight="1" x14ac:dyDescent="0.2">
      <c r="A71" s="261" t="s">
        <v>63</v>
      </c>
      <c r="B71" s="262"/>
      <c r="C71" s="262"/>
      <c r="D71" s="263"/>
      <c r="E71" s="174"/>
      <c r="F71" s="148">
        <v>90</v>
      </c>
      <c r="G71" s="146">
        <v>92</v>
      </c>
      <c r="H71" s="146">
        <v>383</v>
      </c>
      <c r="I71" s="146">
        <v>2720</v>
      </c>
      <c r="J71" s="148">
        <v>1.4</v>
      </c>
      <c r="K71" s="148">
        <v>1.6</v>
      </c>
      <c r="L71" s="147">
        <v>70</v>
      </c>
      <c r="M71" s="148">
        <v>0.9</v>
      </c>
      <c r="N71" s="147">
        <v>12</v>
      </c>
      <c r="O71" s="147">
        <v>1200</v>
      </c>
      <c r="P71" s="147">
        <v>1200</v>
      </c>
      <c r="Q71" s="147">
        <v>14</v>
      </c>
      <c r="R71" s="146">
        <v>0.1</v>
      </c>
      <c r="S71" s="147">
        <v>300</v>
      </c>
      <c r="T71" s="148">
        <v>18</v>
      </c>
      <c r="U71" s="150"/>
      <c r="V71" s="151"/>
      <c r="W71" s="151"/>
      <c r="X71" s="151"/>
    </row>
    <row r="72" spans="1:24" s="8" customFormat="1" ht="11.25" customHeight="1" x14ac:dyDescent="0.2">
      <c r="A72" s="231" t="s">
        <v>62</v>
      </c>
      <c r="B72" s="232"/>
      <c r="C72" s="232"/>
      <c r="D72" s="233"/>
      <c r="E72" s="181"/>
      <c r="F72" s="76">
        <f t="shared" ref="F72:T72" si="21">F70/F71</f>
        <v>0.59185185185185196</v>
      </c>
      <c r="G72" s="44">
        <f t="shared" si="21"/>
        <v>0.64665760869565214</v>
      </c>
      <c r="H72" s="44">
        <f t="shared" si="21"/>
        <v>0.49990208877284603</v>
      </c>
      <c r="I72" s="44">
        <f t="shared" si="21"/>
        <v>0.55676807598039224</v>
      </c>
      <c r="J72" s="44">
        <f t="shared" si="21"/>
        <v>0.58642857142857141</v>
      </c>
      <c r="K72" s="44">
        <f t="shared" si="21"/>
        <v>0.48187499999999994</v>
      </c>
      <c r="L72" s="44">
        <f t="shared" si="21"/>
        <v>0.61265476190476187</v>
      </c>
      <c r="M72" s="45">
        <f t="shared" si="21"/>
        <v>0.55629629629629618</v>
      </c>
      <c r="N72" s="44">
        <f t="shared" si="21"/>
        <v>0.5577361111111111</v>
      </c>
      <c r="O72" s="44">
        <f t="shared" si="21"/>
        <v>0.48134930555555561</v>
      </c>
      <c r="P72" s="44">
        <f t="shared" si="21"/>
        <v>0.95675416666666668</v>
      </c>
      <c r="Q72" s="44">
        <f t="shared" si="21"/>
        <v>0.56385714285714283</v>
      </c>
      <c r="R72" s="45">
        <f t="shared" si="21"/>
        <v>1.0533333333333332</v>
      </c>
      <c r="S72" s="44">
        <f t="shared" si="21"/>
        <v>0.83485166666666655</v>
      </c>
      <c r="T72" s="45">
        <f t="shared" si="21"/>
        <v>0.65834259259259253</v>
      </c>
      <c r="U72" s="51"/>
      <c r="V72" s="52"/>
      <c r="W72" s="52"/>
      <c r="X72" s="52"/>
    </row>
    <row r="73" spans="1:24" s="1" customFormat="1" ht="11.25" customHeight="1" x14ac:dyDescent="0.2">
      <c r="A73" s="54"/>
      <c r="B73" s="54"/>
      <c r="C73" s="110"/>
      <c r="D73" s="110"/>
      <c r="E73" s="117"/>
      <c r="F73" s="102"/>
      <c r="G73" s="71"/>
      <c r="H73" s="2"/>
      <c r="I73" s="2"/>
      <c r="J73" s="71"/>
      <c r="K73" s="71"/>
      <c r="L73" s="71"/>
      <c r="M73" s="265" t="s">
        <v>65</v>
      </c>
      <c r="N73" s="265"/>
      <c r="O73" s="265"/>
      <c r="P73" s="265"/>
      <c r="Q73" s="265"/>
      <c r="R73" s="265"/>
      <c r="S73" s="265"/>
      <c r="T73" s="265"/>
      <c r="U73" s="12"/>
      <c r="V73" s="19"/>
      <c r="W73" s="19"/>
      <c r="X73" s="19"/>
    </row>
    <row r="74" spans="1:24" s="1" customFormat="1" ht="11.25" customHeight="1" x14ac:dyDescent="0.2">
      <c r="A74" s="54"/>
      <c r="B74" s="54"/>
      <c r="C74" s="110"/>
      <c r="D74" s="110"/>
      <c r="E74" s="117"/>
      <c r="F74" s="102"/>
      <c r="G74" s="71"/>
      <c r="H74" s="2"/>
      <c r="I74" s="2"/>
      <c r="J74" s="71"/>
      <c r="K74" s="71"/>
      <c r="L74" s="71"/>
      <c r="M74" s="111"/>
      <c r="N74" s="111"/>
      <c r="O74" s="111"/>
      <c r="P74" s="111"/>
      <c r="Q74" s="111"/>
      <c r="R74" s="111"/>
      <c r="S74" s="111"/>
      <c r="T74" s="111"/>
      <c r="U74" s="12"/>
      <c r="V74" s="19"/>
      <c r="W74" s="19"/>
      <c r="X74" s="19"/>
    </row>
    <row r="75" spans="1:24" s="1" customFormat="1" ht="11.25" customHeight="1" x14ac:dyDescent="0.2">
      <c r="A75" s="264" t="s">
        <v>34</v>
      </c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13"/>
      <c r="V75" s="25"/>
      <c r="W75" s="25"/>
      <c r="X75" s="25"/>
    </row>
    <row r="76" spans="1:24" s="1" customFormat="1" ht="11.25" customHeight="1" x14ac:dyDescent="0.2">
      <c r="A76" s="58" t="s">
        <v>56</v>
      </c>
      <c r="B76" s="54"/>
      <c r="C76" s="54"/>
      <c r="D76" s="2"/>
      <c r="E76" s="2"/>
      <c r="F76" s="34"/>
      <c r="G76" s="240" t="s">
        <v>35</v>
      </c>
      <c r="H76" s="240"/>
      <c r="I76" s="240"/>
      <c r="J76" s="71"/>
      <c r="K76" s="71"/>
      <c r="L76" s="247" t="s">
        <v>2</v>
      </c>
      <c r="M76" s="247"/>
      <c r="N76" s="259"/>
      <c r="O76" s="259"/>
      <c r="P76" s="259"/>
      <c r="Q76" s="259"/>
      <c r="R76" s="71"/>
      <c r="S76" s="71"/>
      <c r="T76" s="71"/>
      <c r="U76" s="14"/>
      <c r="V76" s="20"/>
      <c r="W76" s="20"/>
      <c r="X76" s="20"/>
    </row>
    <row r="77" spans="1:24" s="1" customFormat="1" ht="11.25" customHeight="1" x14ac:dyDescent="0.2">
      <c r="A77" s="54"/>
      <c r="B77" s="54"/>
      <c r="C77" s="54"/>
      <c r="D77" s="260" t="s">
        <v>3</v>
      </c>
      <c r="E77" s="260"/>
      <c r="F77" s="260"/>
      <c r="G77" s="7">
        <v>1</v>
      </c>
      <c r="H77" s="71"/>
      <c r="I77" s="2"/>
      <c r="J77" s="2"/>
      <c r="K77" s="2"/>
      <c r="L77" s="260" t="s">
        <v>4</v>
      </c>
      <c r="M77" s="260"/>
      <c r="N77" s="240" t="s">
        <v>121</v>
      </c>
      <c r="O77" s="240"/>
      <c r="P77" s="240"/>
      <c r="Q77" s="240"/>
      <c r="R77" s="240"/>
      <c r="S77" s="240"/>
      <c r="T77" s="240"/>
      <c r="U77" s="15"/>
      <c r="V77" s="21"/>
      <c r="W77" s="21"/>
      <c r="X77" s="21"/>
    </row>
    <row r="78" spans="1:24" s="1" customFormat="1" ht="21.75" customHeight="1" x14ac:dyDescent="0.2">
      <c r="A78" s="241" t="s">
        <v>5</v>
      </c>
      <c r="B78" s="241" t="s">
        <v>6</v>
      </c>
      <c r="C78" s="241"/>
      <c r="D78" s="241" t="s">
        <v>7</v>
      </c>
      <c r="E78" s="175"/>
      <c r="F78" s="270" t="s">
        <v>8</v>
      </c>
      <c r="G78" s="270"/>
      <c r="H78" s="270"/>
      <c r="I78" s="241" t="s">
        <v>9</v>
      </c>
      <c r="J78" s="270" t="s">
        <v>10</v>
      </c>
      <c r="K78" s="270"/>
      <c r="L78" s="270"/>
      <c r="M78" s="270"/>
      <c r="N78" s="270"/>
      <c r="O78" s="270" t="s">
        <v>11</v>
      </c>
      <c r="P78" s="270"/>
      <c r="Q78" s="270"/>
      <c r="R78" s="270"/>
      <c r="S78" s="270"/>
      <c r="T78" s="270"/>
      <c r="U78" s="9"/>
      <c r="V78" s="22"/>
      <c r="W78" s="22"/>
      <c r="X78" s="22"/>
    </row>
    <row r="79" spans="1:24" s="1" customFormat="1" ht="21" customHeight="1" x14ac:dyDescent="0.2">
      <c r="A79" s="242"/>
      <c r="B79" s="245"/>
      <c r="C79" s="246"/>
      <c r="D79" s="242"/>
      <c r="E79" s="176"/>
      <c r="F79" s="100" t="s">
        <v>12</v>
      </c>
      <c r="G79" s="177" t="s">
        <v>13</v>
      </c>
      <c r="H79" s="177" t="s">
        <v>14</v>
      </c>
      <c r="I79" s="242"/>
      <c r="J79" s="177" t="s">
        <v>15</v>
      </c>
      <c r="K79" s="177" t="s">
        <v>57</v>
      </c>
      <c r="L79" s="177" t="s">
        <v>16</v>
      </c>
      <c r="M79" s="177" t="s">
        <v>17</v>
      </c>
      <c r="N79" s="177" t="s">
        <v>18</v>
      </c>
      <c r="O79" s="177" t="s">
        <v>19</v>
      </c>
      <c r="P79" s="177" t="s">
        <v>20</v>
      </c>
      <c r="Q79" s="177" t="s">
        <v>58</v>
      </c>
      <c r="R79" s="177" t="s">
        <v>59</v>
      </c>
      <c r="S79" s="177" t="s">
        <v>21</v>
      </c>
      <c r="T79" s="177" t="s">
        <v>22</v>
      </c>
      <c r="U79" s="9"/>
      <c r="V79" s="22"/>
      <c r="W79" s="22"/>
      <c r="X79" s="22"/>
    </row>
    <row r="80" spans="1:24" s="1" customFormat="1" ht="11.25" customHeight="1" x14ac:dyDescent="0.2">
      <c r="A80" s="182">
        <v>1</v>
      </c>
      <c r="B80" s="271">
        <v>2</v>
      </c>
      <c r="C80" s="271"/>
      <c r="D80" s="37">
        <v>3</v>
      </c>
      <c r="E80" s="37"/>
      <c r="F80" s="101">
        <v>4</v>
      </c>
      <c r="G80" s="37">
        <v>5</v>
      </c>
      <c r="H80" s="37">
        <v>6</v>
      </c>
      <c r="I80" s="37">
        <v>7</v>
      </c>
      <c r="J80" s="37">
        <v>8</v>
      </c>
      <c r="K80" s="37">
        <v>9</v>
      </c>
      <c r="L80" s="37">
        <v>10</v>
      </c>
      <c r="M80" s="37">
        <v>11</v>
      </c>
      <c r="N80" s="37">
        <v>12</v>
      </c>
      <c r="O80" s="37">
        <v>13</v>
      </c>
      <c r="P80" s="37">
        <v>14</v>
      </c>
      <c r="Q80" s="37">
        <v>15</v>
      </c>
      <c r="R80" s="37">
        <v>16</v>
      </c>
      <c r="S80" s="37">
        <v>17</v>
      </c>
      <c r="T80" s="37">
        <v>18</v>
      </c>
      <c r="U80" s="10"/>
      <c r="V80" s="23"/>
      <c r="W80" s="23"/>
      <c r="X80" s="23"/>
    </row>
    <row r="81" spans="1:24" s="1" customFormat="1" ht="11.25" customHeight="1" x14ac:dyDescent="0.2">
      <c r="A81" s="234" t="s">
        <v>23</v>
      </c>
      <c r="B81" s="235"/>
      <c r="C81" s="235"/>
      <c r="D81" s="235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6"/>
      <c r="U81" s="11"/>
      <c r="V81" s="24"/>
      <c r="W81" s="24"/>
      <c r="X81" s="24"/>
    </row>
    <row r="82" spans="1:24" s="140" customFormat="1" ht="20.25" customHeight="1" x14ac:dyDescent="0.2">
      <c r="A82" s="67">
        <v>71</v>
      </c>
      <c r="B82" s="223" t="s">
        <v>64</v>
      </c>
      <c r="C82" s="224"/>
      <c r="D82" s="79">
        <v>40</v>
      </c>
      <c r="E82" s="79">
        <v>9.2200000000000006</v>
      </c>
      <c r="F82" s="178">
        <f>0.5*D82/60</f>
        <v>0.33333333333333331</v>
      </c>
      <c r="G82" s="178">
        <f>0.03*D82/30</f>
        <v>0.04</v>
      </c>
      <c r="H82" s="178">
        <f>1.7*D82/60</f>
        <v>1.1333333333333333</v>
      </c>
      <c r="I82" s="178">
        <f>F82*4+G82*9+H82*4</f>
        <v>6.2266666666666666</v>
      </c>
      <c r="J82" s="80">
        <v>8.9999999999999993E-3</v>
      </c>
      <c r="K82" s="178">
        <v>0.01</v>
      </c>
      <c r="L82" s="81">
        <v>3</v>
      </c>
      <c r="M82" s="80">
        <v>3.0000000000000001E-3</v>
      </c>
      <c r="N82" s="79">
        <v>0.03</v>
      </c>
      <c r="O82" s="178">
        <v>6.9</v>
      </c>
      <c r="P82" s="178">
        <v>12.6</v>
      </c>
      <c r="Q82" s="80">
        <v>6.4000000000000001E-2</v>
      </c>
      <c r="R82" s="80">
        <v>1E-3</v>
      </c>
      <c r="S82" s="178">
        <v>4.2</v>
      </c>
      <c r="T82" s="178">
        <v>0.18</v>
      </c>
      <c r="U82" s="32"/>
      <c r="V82" s="33"/>
      <c r="W82" s="33"/>
      <c r="X82" s="33"/>
    </row>
    <row r="83" spans="1:24" s="140" customFormat="1" ht="11.25" customHeight="1" x14ac:dyDescent="0.2">
      <c r="A83" s="182">
        <v>291</v>
      </c>
      <c r="B83" s="223" t="s">
        <v>50</v>
      </c>
      <c r="C83" s="224"/>
      <c r="D83" s="147">
        <v>240</v>
      </c>
      <c r="E83" s="148">
        <v>45.63</v>
      </c>
      <c r="F83" s="148">
        <v>22.35</v>
      </c>
      <c r="G83" s="148">
        <v>26.13</v>
      </c>
      <c r="H83" s="148">
        <v>47.231999999999999</v>
      </c>
      <c r="I83" s="148">
        <v>513.57000000000005</v>
      </c>
      <c r="J83" s="148">
        <v>0.81</v>
      </c>
      <c r="K83" s="148">
        <v>0.79</v>
      </c>
      <c r="L83" s="148">
        <v>4.29</v>
      </c>
      <c r="M83" s="148">
        <v>0.46</v>
      </c>
      <c r="N83" s="145">
        <v>0</v>
      </c>
      <c r="O83" s="148">
        <v>44.29</v>
      </c>
      <c r="P83" s="148">
        <v>301.64999999999998</v>
      </c>
      <c r="Q83" s="147">
        <v>0</v>
      </c>
      <c r="R83" s="147">
        <v>0</v>
      </c>
      <c r="S83" s="148">
        <v>64.39</v>
      </c>
      <c r="T83" s="148">
        <v>2.77</v>
      </c>
      <c r="U83" s="150"/>
      <c r="V83" s="151"/>
      <c r="W83" s="151"/>
      <c r="X83" s="151"/>
    </row>
    <row r="84" spans="1:24" s="140" customFormat="1" ht="12.75" customHeight="1" x14ac:dyDescent="0.2">
      <c r="A84" s="182">
        <v>379</v>
      </c>
      <c r="B84" s="223" t="s">
        <v>52</v>
      </c>
      <c r="C84" s="224"/>
      <c r="D84" s="147">
        <v>200</v>
      </c>
      <c r="E84" s="148">
        <v>12.05</v>
      </c>
      <c r="F84" s="148">
        <v>3.17</v>
      </c>
      <c r="G84" s="148">
        <v>2.68</v>
      </c>
      <c r="H84" s="148">
        <v>15.95</v>
      </c>
      <c r="I84" s="148">
        <f>F84*4+G84*9+H84*4</f>
        <v>100.6</v>
      </c>
      <c r="J84" s="148">
        <v>0.04</v>
      </c>
      <c r="K84" s="148">
        <v>0.15</v>
      </c>
      <c r="L84" s="148">
        <v>1.3</v>
      </c>
      <c r="M84" s="149">
        <v>0.03</v>
      </c>
      <c r="N84" s="145">
        <v>0.06</v>
      </c>
      <c r="O84" s="148">
        <v>120.4</v>
      </c>
      <c r="P84" s="146">
        <v>90</v>
      </c>
      <c r="Q84" s="148">
        <v>1.1000000000000001</v>
      </c>
      <c r="R84" s="149">
        <v>0.01</v>
      </c>
      <c r="S84" s="148">
        <v>14</v>
      </c>
      <c r="T84" s="148">
        <v>0.12</v>
      </c>
      <c r="U84" s="150"/>
      <c r="V84" s="151"/>
      <c r="W84" s="151"/>
      <c r="X84" s="151"/>
    </row>
    <row r="85" spans="1:24" s="140" customFormat="1" ht="11.25" customHeight="1" x14ac:dyDescent="0.2">
      <c r="A85" s="153" t="s">
        <v>66</v>
      </c>
      <c r="B85" s="223" t="s">
        <v>53</v>
      </c>
      <c r="C85" s="224"/>
      <c r="D85" s="147">
        <v>40</v>
      </c>
      <c r="E85" s="148">
        <v>3.1</v>
      </c>
      <c r="F85" s="148">
        <f>1.52*D85/30</f>
        <v>2.0266666666666664</v>
      </c>
      <c r="G85" s="149">
        <f>0.16*D85/30</f>
        <v>0.21333333333333335</v>
      </c>
      <c r="H85" s="149">
        <f>9.84*D85/30</f>
        <v>13.120000000000001</v>
      </c>
      <c r="I85" s="149">
        <f>F85*4+G85*9+H85*4</f>
        <v>62.506666666666668</v>
      </c>
      <c r="J85" s="149">
        <f>0.02*D85/30</f>
        <v>2.6666666666666668E-2</v>
      </c>
      <c r="K85" s="149">
        <f>0.01*D85/30</f>
        <v>1.3333333333333334E-2</v>
      </c>
      <c r="L85" s="149">
        <f>0.44*D85/30</f>
        <v>0.58666666666666667</v>
      </c>
      <c r="M85" s="149">
        <v>0</v>
      </c>
      <c r="N85" s="149">
        <f>0.7*D85/30</f>
        <v>0.93333333333333335</v>
      </c>
      <c r="O85" s="149">
        <f>4*D85/30</f>
        <v>5.333333333333333</v>
      </c>
      <c r="P85" s="149">
        <f>13*D85/30</f>
        <v>17.333333333333332</v>
      </c>
      <c r="Q85" s="149">
        <f>0.008*D85/30</f>
        <v>1.0666666666666666E-2</v>
      </c>
      <c r="R85" s="149">
        <f>0.001*D85/30</f>
        <v>1.3333333333333333E-3</v>
      </c>
      <c r="S85" s="149">
        <v>0</v>
      </c>
      <c r="T85" s="149">
        <f>0.22*D85/30</f>
        <v>0.29333333333333333</v>
      </c>
      <c r="U85" s="150"/>
      <c r="V85" s="151"/>
      <c r="W85" s="151"/>
      <c r="X85" s="151"/>
    </row>
    <row r="86" spans="1:24" s="140" customFormat="1" ht="12" customHeight="1" x14ac:dyDescent="0.2">
      <c r="A86" s="61" t="s">
        <v>25</v>
      </c>
      <c r="B86" s="62"/>
      <c r="C86" s="62"/>
      <c r="D86" s="60">
        <f t="shared" ref="D86:T86" si="22">SUM(D82:D85)</f>
        <v>520</v>
      </c>
      <c r="E86" s="154">
        <f t="shared" si="22"/>
        <v>70</v>
      </c>
      <c r="F86" s="39">
        <f t="shared" si="22"/>
        <v>27.88</v>
      </c>
      <c r="G86" s="38">
        <f t="shared" si="22"/>
        <v>29.063333333333333</v>
      </c>
      <c r="H86" s="38">
        <f t="shared" si="22"/>
        <v>77.435333333333332</v>
      </c>
      <c r="I86" s="38">
        <f t="shared" si="22"/>
        <v>682.90333333333342</v>
      </c>
      <c r="J86" s="39">
        <f t="shared" si="22"/>
        <v>0.88566666666666671</v>
      </c>
      <c r="K86" s="39">
        <f t="shared" si="22"/>
        <v>0.96333333333333337</v>
      </c>
      <c r="L86" s="39">
        <f t="shared" si="22"/>
        <v>9.1766666666666659</v>
      </c>
      <c r="M86" s="39">
        <f t="shared" si="22"/>
        <v>0.49299999999999999</v>
      </c>
      <c r="N86" s="39">
        <f t="shared" si="22"/>
        <v>1.0233333333333334</v>
      </c>
      <c r="O86" s="39">
        <f t="shared" si="22"/>
        <v>176.92333333333335</v>
      </c>
      <c r="P86" s="39">
        <f t="shared" si="22"/>
        <v>421.58333333333331</v>
      </c>
      <c r="Q86" s="40">
        <f t="shared" si="22"/>
        <v>1.1746666666666667</v>
      </c>
      <c r="R86" s="40">
        <f t="shared" si="22"/>
        <v>1.2333333333333333E-2</v>
      </c>
      <c r="S86" s="38">
        <f t="shared" si="22"/>
        <v>82.59</v>
      </c>
      <c r="T86" s="39">
        <f t="shared" si="22"/>
        <v>3.3633333333333337</v>
      </c>
      <c r="U86" s="38"/>
      <c r="V86" s="143"/>
      <c r="W86" s="143"/>
      <c r="X86" s="143"/>
    </row>
    <row r="87" spans="1:24" s="140" customFormat="1" ht="12" customHeight="1" x14ac:dyDescent="0.2">
      <c r="A87" s="261" t="s">
        <v>62</v>
      </c>
      <c r="B87" s="262"/>
      <c r="C87" s="262"/>
      <c r="D87" s="263"/>
      <c r="E87" s="127"/>
      <c r="F87" s="157">
        <f t="shared" ref="F87:T87" si="23">F86/F107</f>
        <v>0.30977777777777776</v>
      </c>
      <c r="G87" s="125">
        <f t="shared" si="23"/>
        <v>0.31590579710144928</v>
      </c>
      <c r="H87" s="125">
        <f t="shared" si="23"/>
        <v>0.20218102697998258</v>
      </c>
      <c r="I87" s="125">
        <f t="shared" si="23"/>
        <v>0.25106740196078436</v>
      </c>
      <c r="J87" s="125">
        <f t="shared" si="23"/>
        <v>0.63261904761904775</v>
      </c>
      <c r="K87" s="125">
        <f t="shared" si="23"/>
        <v>0.6020833333333333</v>
      </c>
      <c r="L87" s="125">
        <f t="shared" si="23"/>
        <v>0.13109523809523807</v>
      </c>
      <c r="M87" s="125">
        <f t="shared" si="23"/>
        <v>0.54777777777777781</v>
      </c>
      <c r="N87" s="125">
        <f t="shared" si="23"/>
        <v>8.5277777777777786E-2</v>
      </c>
      <c r="O87" s="125">
        <f t="shared" si="23"/>
        <v>0.14743611111111113</v>
      </c>
      <c r="P87" s="125">
        <f t="shared" si="23"/>
        <v>0.35131944444444441</v>
      </c>
      <c r="Q87" s="125">
        <f t="shared" si="23"/>
        <v>8.3904761904761913E-2</v>
      </c>
      <c r="R87" s="125">
        <f t="shared" si="23"/>
        <v>0.12333333333333332</v>
      </c>
      <c r="S87" s="125">
        <f t="shared" si="23"/>
        <v>0.27529999999999999</v>
      </c>
      <c r="T87" s="125">
        <f t="shared" si="23"/>
        <v>0.18685185185185188</v>
      </c>
      <c r="U87" s="144"/>
      <c r="V87" s="143"/>
      <c r="W87" s="143"/>
      <c r="X87" s="143"/>
    </row>
    <row r="88" spans="1:24" s="140" customFormat="1" ht="12" hidden="1" customHeight="1" x14ac:dyDescent="0.2">
      <c r="A88" s="83" t="s">
        <v>76</v>
      </c>
      <c r="B88" s="84"/>
      <c r="C88" s="84"/>
      <c r="D88" s="173"/>
      <c r="E88" s="164">
        <f>70-E86</f>
        <v>0</v>
      </c>
      <c r="F88" s="124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44"/>
      <c r="V88" s="143"/>
      <c r="W88" s="143"/>
      <c r="X88" s="143"/>
    </row>
    <row r="89" spans="1:24" s="140" customFormat="1" ht="10.5" customHeight="1" x14ac:dyDescent="0.2">
      <c r="A89" s="234" t="s">
        <v>28</v>
      </c>
      <c r="B89" s="235"/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6"/>
      <c r="U89" s="11"/>
      <c r="V89" s="24"/>
      <c r="W89" s="24"/>
      <c r="X89" s="24"/>
    </row>
    <row r="90" spans="1:24" s="140" customFormat="1" ht="18.75" customHeight="1" x14ac:dyDescent="0.2">
      <c r="A90" s="196">
        <v>45</v>
      </c>
      <c r="B90" s="258" t="s">
        <v>87</v>
      </c>
      <c r="C90" s="258"/>
      <c r="D90" s="147">
        <v>100</v>
      </c>
      <c r="E90" s="148">
        <v>8.44</v>
      </c>
      <c r="F90" s="148">
        <f>0.9*D90/60</f>
        <v>1.5</v>
      </c>
      <c r="G90" s="148">
        <f>1.31*D90/60</f>
        <v>2.1833333333333331</v>
      </c>
      <c r="H90" s="148">
        <f>5.6*D90/60</f>
        <v>9.3333333333333339</v>
      </c>
      <c r="I90" s="148">
        <f>F90*4+G90*9+H90*4</f>
        <v>62.983333333333334</v>
      </c>
      <c r="J90" s="148">
        <f>0.06*D90/60</f>
        <v>0.1</v>
      </c>
      <c r="K90" s="148">
        <f>0.07*D90/60</f>
        <v>0.11666666666666668</v>
      </c>
      <c r="L90" s="148">
        <f>15.5*D90/60</f>
        <v>25.833333333333332</v>
      </c>
      <c r="M90" s="149">
        <f>0.071*D90/60</f>
        <v>0.11833333333333333</v>
      </c>
      <c r="N90" s="148">
        <f>0.3*D90/60</f>
        <v>0.5</v>
      </c>
      <c r="O90" s="148">
        <f>28.2*D90/60</f>
        <v>47</v>
      </c>
      <c r="P90" s="148">
        <f>18.9*D90/60</f>
        <v>31.499999999999996</v>
      </c>
      <c r="Q90" s="148">
        <f>0.2*D90/60</f>
        <v>0.33333333333333331</v>
      </c>
      <c r="R90" s="149">
        <f>0.001*D90/60</f>
        <v>1.6666666666666668E-3</v>
      </c>
      <c r="S90" s="148">
        <f>10.5*D90/60</f>
        <v>17.5</v>
      </c>
      <c r="T90" s="148">
        <f>0.6*D90/60</f>
        <v>1</v>
      </c>
      <c r="U90" s="150"/>
      <c r="V90" s="151"/>
      <c r="W90" s="151"/>
      <c r="X90" s="151"/>
    </row>
    <row r="91" spans="1:24" s="140" customFormat="1" ht="22.5" customHeight="1" x14ac:dyDescent="0.2">
      <c r="A91" s="133">
        <v>103</v>
      </c>
      <c r="B91" s="266" t="s">
        <v>95</v>
      </c>
      <c r="C91" s="266"/>
      <c r="D91" s="134">
        <v>250</v>
      </c>
      <c r="E91" s="128">
        <v>9.68</v>
      </c>
      <c r="F91" s="128">
        <v>12.37</v>
      </c>
      <c r="G91" s="128">
        <v>11.12</v>
      </c>
      <c r="H91" s="128">
        <v>31.5</v>
      </c>
      <c r="I91" s="128">
        <v>275.62</v>
      </c>
      <c r="J91" s="128">
        <v>0.25</v>
      </c>
      <c r="K91" s="128">
        <v>6.3E-2</v>
      </c>
      <c r="L91" s="128">
        <v>8.25</v>
      </c>
      <c r="M91" s="128">
        <v>0</v>
      </c>
      <c r="N91" s="128">
        <v>0</v>
      </c>
      <c r="O91" s="128">
        <v>49.37</v>
      </c>
      <c r="P91" s="128">
        <v>93.37</v>
      </c>
      <c r="Q91" s="128">
        <v>0</v>
      </c>
      <c r="R91" s="128">
        <v>1E-3</v>
      </c>
      <c r="S91" s="128">
        <v>27.25</v>
      </c>
      <c r="T91" s="128">
        <v>0.37</v>
      </c>
      <c r="U91" s="150"/>
      <c r="V91" s="151"/>
      <c r="W91" s="151"/>
      <c r="X91" s="151"/>
    </row>
    <row r="92" spans="1:24" s="140" customFormat="1" ht="12" customHeight="1" x14ac:dyDescent="0.2">
      <c r="A92" s="153">
        <v>232</v>
      </c>
      <c r="B92" s="223" t="s">
        <v>119</v>
      </c>
      <c r="C92" s="224"/>
      <c r="D92" s="147">
        <v>100</v>
      </c>
      <c r="E92" s="148">
        <v>32.869999999999997</v>
      </c>
      <c r="F92" s="148">
        <f>20.2*D92/100</f>
        <v>20.2</v>
      </c>
      <c r="G92" s="148">
        <f>12.07*D92/100</f>
        <v>12.07</v>
      </c>
      <c r="H92" s="148">
        <f>2.08*D92/100</f>
        <v>2.08</v>
      </c>
      <c r="I92" s="148">
        <f>F92*4+G92*9+H92*4</f>
        <v>197.75</v>
      </c>
      <c r="J92" s="148">
        <f>0.2*D92/100</f>
        <v>0.2</v>
      </c>
      <c r="K92" s="148">
        <f>0.17*D92/100</f>
        <v>0.17</v>
      </c>
      <c r="L92" s="148">
        <f>2.63*D92/100</f>
        <v>2.63</v>
      </c>
      <c r="M92" s="149">
        <f>D92*0.025/80</f>
        <v>3.125E-2</v>
      </c>
      <c r="N92" s="148">
        <v>0.3</v>
      </c>
      <c r="O92" s="148">
        <f>D92*68.89/80</f>
        <v>86.112499999999997</v>
      </c>
      <c r="P92" s="148">
        <f>D92*33.41/80</f>
        <v>41.762499999999996</v>
      </c>
      <c r="Q92" s="146">
        <v>0.8</v>
      </c>
      <c r="R92" s="146">
        <v>0.04</v>
      </c>
      <c r="S92" s="148">
        <f>D92*23.17/80</f>
        <v>28.962499999999999</v>
      </c>
      <c r="T92" s="148">
        <f>D92*0.73/80</f>
        <v>0.91249999999999998</v>
      </c>
      <c r="U92" s="150"/>
      <c r="V92" s="151"/>
      <c r="W92" s="151"/>
      <c r="X92" s="151"/>
    </row>
    <row r="93" spans="1:24" s="140" customFormat="1" ht="12" customHeight="1" x14ac:dyDescent="0.2">
      <c r="A93" s="153">
        <v>312</v>
      </c>
      <c r="B93" s="223" t="s">
        <v>47</v>
      </c>
      <c r="C93" s="224"/>
      <c r="D93" s="147">
        <v>180</v>
      </c>
      <c r="E93" s="148">
        <v>19.11</v>
      </c>
      <c r="F93" s="148">
        <f>D93*3.29/150</f>
        <v>3.9480000000000004</v>
      </c>
      <c r="G93" s="148">
        <f>D93*7.06/150</f>
        <v>8.4719999999999995</v>
      </c>
      <c r="H93" s="148">
        <f>D93*22.21/150</f>
        <v>26.652000000000001</v>
      </c>
      <c r="I93" s="148">
        <f>F93*4+G93*9+H93*4</f>
        <v>198.648</v>
      </c>
      <c r="J93" s="148">
        <f>D93*0.16/150</f>
        <v>0.192</v>
      </c>
      <c r="K93" s="148">
        <f>D93*0.13/150</f>
        <v>0.15600000000000003</v>
      </c>
      <c r="L93" s="148">
        <f>D93*0.73/150</f>
        <v>0.876</v>
      </c>
      <c r="M93" s="149">
        <f>D93*0.08/150</f>
        <v>9.6000000000000002E-2</v>
      </c>
      <c r="N93" s="145">
        <f>1.5*D93/150</f>
        <v>1.8</v>
      </c>
      <c r="O93" s="148">
        <f>D93*42.54/150</f>
        <v>51.048000000000002</v>
      </c>
      <c r="P93" s="146">
        <f>D93*97.75/150</f>
        <v>117.3</v>
      </c>
      <c r="Q93" s="149">
        <f>0.299*D93/150</f>
        <v>0.35880000000000001</v>
      </c>
      <c r="R93" s="149">
        <f>0.001*D93/150</f>
        <v>1.1999999999999999E-3</v>
      </c>
      <c r="S93" s="148">
        <f>D93*33.06/150</f>
        <v>39.672000000000004</v>
      </c>
      <c r="T93" s="148">
        <f>D93*1.19/150</f>
        <v>1.4279999999999999</v>
      </c>
      <c r="U93" s="150"/>
      <c r="V93" s="151"/>
      <c r="W93" s="151"/>
      <c r="X93" s="151"/>
    </row>
    <row r="94" spans="1:24" s="140" customFormat="1" ht="12" customHeight="1" x14ac:dyDescent="0.2">
      <c r="A94" s="133">
        <v>699</v>
      </c>
      <c r="B94" s="266" t="s">
        <v>100</v>
      </c>
      <c r="C94" s="266"/>
      <c r="D94" s="137">
        <v>200</v>
      </c>
      <c r="E94" s="128">
        <v>4.75</v>
      </c>
      <c r="F94" s="128">
        <v>0.1</v>
      </c>
      <c r="G94" s="128">
        <v>0</v>
      </c>
      <c r="H94" s="128">
        <v>15.7</v>
      </c>
      <c r="I94" s="128">
        <v>63.2</v>
      </c>
      <c r="J94" s="128">
        <v>1.7999999999999999E-2</v>
      </c>
      <c r="K94" s="128">
        <v>1.2E-2</v>
      </c>
      <c r="L94" s="128">
        <v>8</v>
      </c>
      <c r="M94" s="128">
        <v>0</v>
      </c>
      <c r="N94" s="128">
        <v>0.2</v>
      </c>
      <c r="O94" s="128">
        <v>10.8</v>
      </c>
      <c r="P94" s="128">
        <v>1.7</v>
      </c>
      <c r="Q94" s="128">
        <v>0</v>
      </c>
      <c r="R94" s="128">
        <v>0</v>
      </c>
      <c r="S94" s="128">
        <v>5.8</v>
      </c>
      <c r="T94" s="128">
        <v>1.6</v>
      </c>
      <c r="U94" s="150"/>
      <c r="V94" s="151"/>
      <c r="W94" s="151"/>
      <c r="X94" s="151"/>
    </row>
    <row r="95" spans="1:24" s="140" customFormat="1" ht="11.25" customHeight="1" x14ac:dyDescent="0.2">
      <c r="A95" s="78" t="s">
        <v>66</v>
      </c>
      <c r="B95" s="223" t="s">
        <v>46</v>
      </c>
      <c r="C95" s="224"/>
      <c r="D95" s="147">
        <v>40</v>
      </c>
      <c r="E95" s="148">
        <v>2.04</v>
      </c>
      <c r="F95" s="148">
        <f>2.64*D95/40</f>
        <v>2.64</v>
      </c>
      <c r="G95" s="148">
        <f>0.48*D95/40</f>
        <v>0.48</v>
      </c>
      <c r="H95" s="148">
        <f>13.68*D95/40</f>
        <v>13.680000000000001</v>
      </c>
      <c r="I95" s="146">
        <f>F95*4+G95*9+H95*4</f>
        <v>69.600000000000009</v>
      </c>
      <c r="J95" s="145">
        <f>0.08*D95/40</f>
        <v>0.08</v>
      </c>
      <c r="K95" s="148">
        <f>0.04*D95/40</f>
        <v>0.04</v>
      </c>
      <c r="L95" s="147">
        <v>0</v>
      </c>
      <c r="M95" s="147">
        <v>0</v>
      </c>
      <c r="N95" s="148">
        <f>2.4*D95/40</f>
        <v>2.4</v>
      </c>
      <c r="O95" s="148">
        <f>14*D95/40</f>
        <v>14</v>
      </c>
      <c r="P95" s="148">
        <f>63.2*D95/40</f>
        <v>63.2</v>
      </c>
      <c r="Q95" s="148">
        <f>1.2*D95/40</f>
        <v>1.2</v>
      </c>
      <c r="R95" s="149">
        <f>0.001*D95/40</f>
        <v>1E-3</v>
      </c>
      <c r="S95" s="148">
        <f>9.4*D95/40</f>
        <v>9.4</v>
      </c>
      <c r="T95" s="145">
        <f>0.78*D95/40</f>
        <v>0.78</v>
      </c>
      <c r="U95" s="30"/>
      <c r="V95" s="31"/>
      <c r="W95" s="31"/>
      <c r="X95" s="31"/>
    </row>
    <row r="96" spans="1:24" s="140" customFormat="1" ht="11.25" customHeight="1" x14ac:dyDescent="0.2">
      <c r="A96" s="153" t="s">
        <v>66</v>
      </c>
      <c r="B96" s="223" t="s">
        <v>53</v>
      </c>
      <c r="C96" s="224"/>
      <c r="D96" s="147">
        <v>40</v>
      </c>
      <c r="E96" s="148">
        <v>3.1</v>
      </c>
      <c r="F96" s="148">
        <f>1.52*D96/30</f>
        <v>2.0266666666666664</v>
      </c>
      <c r="G96" s="149">
        <f>0.16*D96/30</f>
        <v>0.21333333333333335</v>
      </c>
      <c r="H96" s="149">
        <f>9.84*D96/30</f>
        <v>13.120000000000001</v>
      </c>
      <c r="I96" s="149">
        <f>F96*4+G96*9+H96*4</f>
        <v>62.506666666666668</v>
      </c>
      <c r="J96" s="149">
        <f>0.02*D96/30</f>
        <v>2.6666666666666668E-2</v>
      </c>
      <c r="K96" s="149">
        <f>0.01*D96/30</f>
        <v>1.3333333333333334E-2</v>
      </c>
      <c r="L96" s="149">
        <f>0.44*D96/30</f>
        <v>0.58666666666666667</v>
      </c>
      <c r="M96" s="149">
        <v>0</v>
      </c>
      <c r="N96" s="149">
        <f>0.7*D96/30</f>
        <v>0.93333333333333335</v>
      </c>
      <c r="O96" s="149">
        <f>4*D96/30</f>
        <v>5.333333333333333</v>
      </c>
      <c r="P96" s="149">
        <f>13*D96/30</f>
        <v>17.333333333333332</v>
      </c>
      <c r="Q96" s="149">
        <f>0.008*D96/30</f>
        <v>1.0666666666666666E-2</v>
      </c>
      <c r="R96" s="149">
        <f>0.001*D96/30</f>
        <v>1.3333333333333333E-3</v>
      </c>
      <c r="S96" s="149">
        <v>0</v>
      </c>
      <c r="T96" s="149">
        <f>0.22*D96/30</f>
        <v>0.29333333333333333</v>
      </c>
      <c r="U96" s="150"/>
      <c r="V96" s="151"/>
      <c r="W96" s="151"/>
      <c r="X96" s="151"/>
    </row>
    <row r="97" spans="1:24" x14ac:dyDescent="0.2">
      <c r="A97" s="184" t="s">
        <v>66</v>
      </c>
      <c r="B97" s="276" t="s">
        <v>110</v>
      </c>
      <c r="C97" s="252"/>
      <c r="D97" s="184">
        <v>40</v>
      </c>
      <c r="E97" s="185">
        <v>10.01</v>
      </c>
      <c r="F97" s="185">
        <v>0.65</v>
      </c>
      <c r="G97" s="186">
        <v>3.8</v>
      </c>
      <c r="H97" s="187">
        <v>17.600000000000001</v>
      </c>
      <c r="I97" s="185">
        <v>38</v>
      </c>
      <c r="J97" s="185">
        <v>2.5999999999999999E-2</v>
      </c>
      <c r="K97" s="185">
        <v>0.03</v>
      </c>
      <c r="L97" s="185">
        <v>0.13</v>
      </c>
      <c r="M97" s="185">
        <v>11.96</v>
      </c>
      <c r="N97" s="186">
        <v>0.39</v>
      </c>
      <c r="O97" s="185">
        <v>24.18</v>
      </c>
      <c r="P97" s="185">
        <v>49.4</v>
      </c>
      <c r="Q97" s="188">
        <v>0.2</v>
      </c>
      <c r="R97" s="185">
        <v>2E-3</v>
      </c>
      <c r="S97" s="185">
        <v>18.72</v>
      </c>
      <c r="T97" s="185">
        <v>0.182</v>
      </c>
      <c r="U97"/>
      <c r="V97"/>
      <c r="W97"/>
      <c r="X97"/>
    </row>
    <row r="98" spans="1:24" s="140" customFormat="1" ht="11.25" customHeight="1" x14ac:dyDescent="0.2">
      <c r="A98" s="61" t="s">
        <v>29</v>
      </c>
      <c r="B98" s="62"/>
      <c r="C98" s="62"/>
      <c r="D98" s="65">
        <f>SUM(D90:D97)</f>
        <v>950</v>
      </c>
      <c r="E98" s="154">
        <f>SUM(E90:E97)</f>
        <v>90</v>
      </c>
      <c r="F98" s="39">
        <f>SUM(F90:F96)</f>
        <v>42.784666666666666</v>
      </c>
      <c r="G98" s="38">
        <f>SUM(G90:G96)</f>
        <v>34.538666666666664</v>
      </c>
      <c r="H98" s="38">
        <f>SUM(H90:H96)</f>
        <v>112.06533333333336</v>
      </c>
      <c r="I98" s="38">
        <f>SUM(I90:I96)</f>
        <v>930.30800000000011</v>
      </c>
      <c r="J98" s="39">
        <f t="shared" ref="J98:T98" si="24">SUM(J90:J96)</f>
        <v>0.86666666666666659</v>
      </c>
      <c r="K98" s="39">
        <f t="shared" si="24"/>
        <v>0.57100000000000006</v>
      </c>
      <c r="L98" s="39">
        <f t="shared" si="24"/>
        <v>46.175999999999995</v>
      </c>
      <c r="M98" s="39">
        <f t="shared" si="24"/>
        <v>0.24558333333333335</v>
      </c>
      <c r="N98" s="39">
        <f t="shared" si="24"/>
        <v>6.1333333333333337</v>
      </c>
      <c r="O98" s="39">
        <f t="shared" si="24"/>
        <v>263.66383333333334</v>
      </c>
      <c r="P98" s="39">
        <f t="shared" si="24"/>
        <v>366.1658333333333</v>
      </c>
      <c r="Q98" s="39">
        <f t="shared" si="24"/>
        <v>2.7028000000000003</v>
      </c>
      <c r="R98" s="40">
        <f t="shared" si="24"/>
        <v>4.6199999999999998E-2</v>
      </c>
      <c r="S98" s="39">
        <f t="shared" si="24"/>
        <v>128.58449999999999</v>
      </c>
      <c r="T98" s="39">
        <f t="shared" si="24"/>
        <v>6.3838333333333335</v>
      </c>
      <c r="U98" s="38"/>
      <c r="V98" s="143"/>
      <c r="W98" s="143"/>
      <c r="X98" s="143"/>
    </row>
    <row r="99" spans="1:24" s="140" customFormat="1" ht="11.25" customHeight="1" x14ac:dyDescent="0.2">
      <c r="A99" s="261" t="s">
        <v>62</v>
      </c>
      <c r="B99" s="262"/>
      <c r="C99" s="262"/>
      <c r="D99" s="263"/>
      <c r="E99" s="127"/>
      <c r="F99" s="157">
        <f t="shared" ref="F99:T99" si="25">F98/F107</f>
        <v>0.47538518518518519</v>
      </c>
      <c r="G99" s="123">
        <f t="shared" si="25"/>
        <v>0.37542028985507242</v>
      </c>
      <c r="H99" s="123">
        <f t="shared" si="25"/>
        <v>0.29259878154917324</v>
      </c>
      <c r="I99" s="123">
        <f t="shared" si="25"/>
        <v>0.34202500000000002</v>
      </c>
      <c r="J99" s="123">
        <f t="shared" si="25"/>
        <v>0.61904761904761907</v>
      </c>
      <c r="K99" s="123">
        <f t="shared" si="25"/>
        <v>0.356875</v>
      </c>
      <c r="L99" s="123">
        <f t="shared" si="25"/>
        <v>0.65965714285714283</v>
      </c>
      <c r="M99" s="123">
        <f t="shared" si="25"/>
        <v>0.27287037037037037</v>
      </c>
      <c r="N99" s="123">
        <f t="shared" si="25"/>
        <v>0.51111111111111118</v>
      </c>
      <c r="O99" s="123">
        <f t="shared" si="25"/>
        <v>0.21971986111111111</v>
      </c>
      <c r="P99" s="123">
        <f t="shared" si="25"/>
        <v>0.3051381944444444</v>
      </c>
      <c r="Q99" s="123">
        <f t="shared" si="25"/>
        <v>0.19305714285714287</v>
      </c>
      <c r="R99" s="123">
        <f t="shared" si="25"/>
        <v>0.46199999999999997</v>
      </c>
      <c r="S99" s="123">
        <f t="shared" si="25"/>
        <v>0.42861499999999997</v>
      </c>
      <c r="T99" s="123">
        <f t="shared" si="25"/>
        <v>0.35465740740740742</v>
      </c>
      <c r="U99" s="144"/>
      <c r="V99" s="143"/>
      <c r="W99" s="143"/>
      <c r="X99" s="143"/>
    </row>
    <row r="100" spans="1:24" s="140" customFormat="1" ht="11.25" hidden="1" customHeight="1" x14ac:dyDescent="0.2">
      <c r="A100" s="172"/>
      <c r="B100" s="173"/>
      <c r="C100" s="173"/>
      <c r="D100" s="173"/>
      <c r="E100" s="167">
        <f>90-E98</f>
        <v>0</v>
      </c>
      <c r="F100" s="157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6"/>
      <c r="U100" s="144"/>
      <c r="V100" s="143"/>
      <c r="W100" s="143"/>
      <c r="X100" s="143"/>
    </row>
    <row r="101" spans="1:24" s="140" customFormat="1" ht="11.25" customHeight="1" x14ac:dyDescent="0.2">
      <c r="A101" s="234" t="s">
        <v>30</v>
      </c>
      <c r="B101" s="235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6"/>
      <c r="U101" s="11"/>
      <c r="V101" s="24"/>
      <c r="W101" s="24"/>
      <c r="X101" s="24"/>
    </row>
    <row r="102" spans="1:24" s="129" customFormat="1" ht="12" customHeight="1" x14ac:dyDescent="0.2">
      <c r="A102" s="135"/>
      <c r="B102" s="253"/>
      <c r="C102" s="253"/>
      <c r="D102" s="131"/>
      <c r="E102" s="130"/>
      <c r="F102" s="130"/>
      <c r="G102" s="203"/>
      <c r="H102" s="203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</row>
    <row r="103" spans="1:24" s="140" customFormat="1" ht="21.75" customHeight="1" x14ac:dyDescent="0.2">
      <c r="A103" s="153"/>
      <c r="B103" s="223"/>
      <c r="C103" s="224"/>
      <c r="D103" s="147"/>
      <c r="E103" s="148"/>
      <c r="F103" s="148"/>
      <c r="G103" s="145"/>
      <c r="H103" s="148"/>
      <c r="I103" s="148"/>
      <c r="J103" s="145"/>
      <c r="K103" s="145"/>
      <c r="L103" s="148"/>
      <c r="M103" s="145"/>
      <c r="N103" s="145"/>
      <c r="O103" s="146"/>
      <c r="P103" s="146"/>
      <c r="Q103" s="147"/>
      <c r="R103" s="147"/>
      <c r="S103" s="146"/>
      <c r="T103" s="148"/>
      <c r="U103" s="150"/>
      <c r="V103" s="151"/>
      <c r="W103" s="151"/>
      <c r="X103" s="151"/>
    </row>
    <row r="104" spans="1:24" s="1" customFormat="1" ht="11.25" customHeight="1" x14ac:dyDescent="0.2">
      <c r="A104" s="61" t="s">
        <v>31</v>
      </c>
      <c r="B104" s="62"/>
      <c r="C104" s="62"/>
      <c r="D104" s="65">
        <f t="shared" ref="D104:T104" si="26">SUM(D102:D103)</f>
        <v>0</v>
      </c>
      <c r="E104" s="154">
        <f t="shared" si="26"/>
        <v>0</v>
      </c>
      <c r="F104" s="39">
        <f t="shared" si="26"/>
        <v>0</v>
      </c>
      <c r="G104" s="38">
        <f t="shared" si="26"/>
        <v>0</v>
      </c>
      <c r="H104" s="38">
        <f t="shared" si="26"/>
        <v>0</v>
      </c>
      <c r="I104" s="38">
        <f t="shared" si="26"/>
        <v>0</v>
      </c>
      <c r="J104" s="38">
        <f t="shared" si="26"/>
        <v>0</v>
      </c>
      <c r="K104" s="38">
        <f t="shared" si="26"/>
        <v>0</v>
      </c>
      <c r="L104" s="38">
        <f t="shared" si="26"/>
        <v>0</v>
      </c>
      <c r="M104" s="38">
        <f t="shared" si="26"/>
        <v>0</v>
      </c>
      <c r="N104" s="38">
        <f t="shared" si="26"/>
        <v>0</v>
      </c>
      <c r="O104" s="38">
        <f t="shared" si="26"/>
        <v>0</v>
      </c>
      <c r="P104" s="38">
        <f t="shared" si="26"/>
        <v>0</v>
      </c>
      <c r="Q104" s="38">
        <f t="shared" si="26"/>
        <v>0</v>
      </c>
      <c r="R104" s="38">
        <f t="shared" si="26"/>
        <v>0</v>
      </c>
      <c r="S104" s="38">
        <f t="shared" si="26"/>
        <v>0</v>
      </c>
      <c r="T104" s="38">
        <f t="shared" si="26"/>
        <v>0</v>
      </c>
      <c r="U104" s="38"/>
      <c r="V104" s="143"/>
      <c r="W104" s="143"/>
      <c r="X104" s="143"/>
    </row>
    <row r="105" spans="1:24" s="1" customFormat="1" ht="11.25" customHeight="1" x14ac:dyDescent="0.2">
      <c r="A105" s="261" t="s">
        <v>62</v>
      </c>
      <c r="B105" s="262"/>
      <c r="C105" s="262"/>
      <c r="D105" s="263"/>
      <c r="E105" s="127"/>
      <c r="F105" s="157">
        <f>F104/F107</f>
        <v>0</v>
      </c>
      <c r="G105" s="126">
        <f t="shared" ref="G105:T105" si="27">G104/G107</f>
        <v>0</v>
      </c>
      <c r="H105" s="126">
        <f t="shared" si="27"/>
        <v>0</v>
      </c>
      <c r="I105" s="126">
        <f t="shared" si="27"/>
        <v>0</v>
      </c>
      <c r="J105" s="126">
        <f t="shared" si="27"/>
        <v>0</v>
      </c>
      <c r="K105" s="126">
        <f t="shared" si="27"/>
        <v>0</v>
      </c>
      <c r="L105" s="126">
        <f t="shared" si="27"/>
        <v>0</v>
      </c>
      <c r="M105" s="126">
        <f t="shared" si="27"/>
        <v>0</v>
      </c>
      <c r="N105" s="126">
        <f t="shared" si="27"/>
        <v>0</v>
      </c>
      <c r="O105" s="126">
        <f t="shared" si="27"/>
        <v>0</v>
      </c>
      <c r="P105" s="126">
        <f t="shared" si="27"/>
        <v>0</v>
      </c>
      <c r="Q105" s="126">
        <f t="shared" si="27"/>
        <v>0</v>
      </c>
      <c r="R105" s="126">
        <f t="shared" si="27"/>
        <v>0</v>
      </c>
      <c r="S105" s="126">
        <f t="shared" si="27"/>
        <v>0</v>
      </c>
      <c r="T105" s="126">
        <f t="shared" si="27"/>
        <v>0</v>
      </c>
      <c r="U105" s="59"/>
      <c r="V105" s="143"/>
      <c r="W105" s="143"/>
      <c r="X105" s="143"/>
    </row>
    <row r="106" spans="1:24" s="1" customFormat="1" ht="11.25" customHeight="1" x14ac:dyDescent="0.2">
      <c r="A106" s="261" t="s">
        <v>61</v>
      </c>
      <c r="B106" s="262"/>
      <c r="C106" s="262"/>
      <c r="D106" s="263"/>
      <c r="E106" s="174"/>
      <c r="F106" s="39">
        <f t="shared" ref="F106:T106" si="28">SUM(F86,F98,F104)</f>
        <v>70.664666666666662</v>
      </c>
      <c r="G106" s="38">
        <f t="shared" si="28"/>
        <v>63.601999999999997</v>
      </c>
      <c r="H106" s="38">
        <f t="shared" si="28"/>
        <v>189.50066666666669</v>
      </c>
      <c r="I106" s="38">
        <f t="shared" si="28"/>
        <v>1613.2113333333336</v>
      </c>
      <c r="J106" s="39">
        <f t="shared" si="28"/>
        <v>1.7523333333333333</v>
      </c>
      <c r="K106" s="39">
        <f t="shared" si="28"/>
        <v>1.5343333333333335</v>
      </c>
      <c r="L106" s="49">
        <f t="shared" si="28"/>
        <v>55.352666666666664</v>
      </c>
      <c r="M106" s="39">
        <f t="shared" si="28"/>
        <v>0.73858333333333337</v>
      </c>
      <c r="N106" s="49">
        <f t="shared" si="28"/>
        <v>7.1566666666666672</v>
      </c>
      <c r="O106" s="38">
        <f t="shared" si="28"/>
        <v>440.58716666666669</v>
      </c>
      <c r="P106" s="39">
        <f t="shared" si="28"/>
        <v>787.74916666666661</v>
      </c>
      <c r="Q106" s="38">
        <f t="shared" si="28"/>
        <v>3.8774666666666668</v>
      </c>
      <c r="R106" s="40">
        <f t="shared" si="28"/>
        <v>5.8533333333333333E-2</v>
      </c>
      <c r="S106" s="39">
        <f t="shared" si="28"/>
        <v>211.17449999999999</v>
      </c>
      <c r="T106" s="39">
        <f t="shared" si="28"/>
        <v>9.7471666666666668</v>
      </c>
      <c r="U106" s="50"/>
      <c r="V106" s="142"/>
      <c r="W106" s="142"/>
      <c r="X106" s="142"/>
    </row>
    <row r="107" spans="1:24" s="1" customFormat="1" ht="11.25" customHeight="1" x14ac:dyDescent="0.2">
      <c r="A107" s="261" t="s">
        <v>63</v>
      </c>
      <c r="B107" s="262"/>
      <c r="C107" s="262"/>
      <c r="D107" s="263"/>
      <c r="E107" s="174"/>
      <c r="F107" s="148">
        <v>90</v>
      </c>
      <c r="G107" s="146">
        <v>92</v>
      </c>
      <c r="H107" s="146">
        <v>383</v>
      </c>
      <c r="I107" s="146">
        <v>2720</v>
      </c>
      <c r="J107" s="148">
        <v>1.4</v>
      </c>
      <c r="K107" s="148">
        <v>1.6</v>
      </c>
      <c r="L107" s="147">
        <v>70</v>
      </c>
      <c r="M107" s="148">
        <v>0.9</v>
      </c>
      <c r="N107" s="147">
        <v>12</v>
      </c>
      <c r="O107" s="147">
        <v>1200</v>
      </c>
      <c r="P107" s="147">
        <v>1200</v>
      </c>
      <c r="Q107" s="147">
        <v>14</v>
      </c>
      <c r="R107" s="146">
        <v>0.1</v>
      </c>
      <c r="S107" s="147">
        <v>300</v>
      </c>
      <c r="T107" s="148">
        <v>18</v>
      </c>
      <c r="U107" s="150"/>
      <c r="V107" s="151"/>
      <c r="W107" s="151"/>
      <c r="X107" s="151"/>
    </row>
    <row r="108" spans="1:24" s="8" customFormat="1" ht="11.25" customHeight="1" x14ac:dyDescent="0.2">
      <c r="A108" s="231" t="s">
        <v>62</v>
      </c>
      <c r="B108" s="232"/>
      <c r="C108" s="232"/>
      <c r="D108" s="233"/>
      <c r="E108" s="181"/>
      <c r="F108" s="76">
        <f t="shared" ref="F108:T108" si="29">F106/F107</f>
        <v>0.78516296296296295</v>
      </c>
      <c r="G108" s="44">
        <f t="shared" si="29"/>
        <v>0.69132608695652176</v>
      </c>
      <c r="H108" s="44">
        <f t="shared" si="29"/>
        <v>0.49477980852915582</v>
      </c>
      <c r="I108" s="44">
        <f t="shared" si="29"/>
        <v>0.59309240196078439</v>
      </c>
      <c r="J108" s="44">
        <f t="shared" si="29"/>
        <v>1.2516666666666667</v>
      </c>
      <c r="K108" s="44">
        <f t="shared" si="29"/>
        <v>0.95895833333333347</v>
      </c>
      <c r="L108" s="44">
        <f t="shared" si="29"/>
        <v>0.79075238095238087</v>
      </c>
      <c r="M108" s="45">
        <f t="shared" si="29"/>
        <v>0.82064814814814813</v>
      </c>
      <c r="N108" s="45">
        <f t="shared" si="29"/>
        <v>0.59638888888888897</v>
      </c>
      <c r="O108" s="44">
        <f t="shared" si="29"/>
        <v>0.36715597222222224</v>
      </c>
      <c r="P108" s="44">
        <f t="shared" si="29"/>
        <v>0.65645763888888886</v>
      </c>
      <c r="Q108" s="44">
        <f t="shared" si="29"/>
        <v>0.2769619047619048</v>
      </c>
      <c r="R108" s="45">
        <f t="shared" si="29"/>
        <v>0.58533333333333326</v>
      </c>
      <c r="S108" s="44">
        <f t="shared" si="29"/>
        <v>0.70391499999999996</v>
      </c>
      <c r="T108" s="44">
        <f t="shared" si="29"/>
        <v>0.5415092592592593</v>
      </c>
      <c r="U108" s="51"/>
      <c r="V108" s="52"/>
      <c r="W108" s="52"/>
      <c r="X108" s="52"/>
    </row>
    <row r="109" spans="1:24" s="1" customFormat="1" ht="11.25" customHeight="1" x14ac:dyDescent="0.2">
      <c r="A109" s="264" t="s">
        <v>36</v>
      </c>
      <c r="B109" s="264"/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  <c r="O109" s="264"/>
      <c r="P109" s="264"/>
      <c r="Q109" s="264"/>
      <c r="R109" s="264"/>
      <c r="S109" s="264"/>
      <c r="T109" s="264"/>
      <c r="U109" s="13"/>
      <c r="V109" s="25"/>
      <c r="W109" s="25"/>
      <c r="X109" s="25"/>
    </row>
    <row r="110" spans="1:24" s="1" customFormat="1" ht="11.25" customHeight="1" x14ac:dyDescent="0.2">
      <c r="A110" s="58" t="s">
        <v>55</v>
      </c>
      <c r="B110" s="54"/>
      <c r="C110" s="54"/>
      <c r="D110" s="2"/>
      <c r="E110" s="2"/>
      <c r="F110" s="34"/>
      <c r="G110" s="240" t="s">
        <v>37</v>
      </c>
      <c r="H110" s="240"/>
      <c r="I110" s="240"/>
      <c r="J110" s="71"/>
      <c r="K110" s="71"/>
      <c r="L110" s="247" t="s">
        <v>2</v>
      </c>
      <c r="M110" s="247"/>
      <c r="N110" s="259"/>
      <c r="O110" s="259"/>
      <c r="P110" s="259"/>
      <c r="Q110" s="259"/>
      <c r="R110" s="71"/>
      <c r="S110" s="71"/>
      <c r="T110" s="71"/>
      <c r="U110" s="14"/>
      <c r="V110" s="20"/>
      <c r="W110" s="20"/>
      <c r="X110" s="20"/>
    </row>
    <row r="111" spans="1:24" s="1" customFormat="1" ht="11.25" customHeight="1" x14ac:dyDescent="0.2">
      <c r="A111" s="54"/>
      <c r="B111" s="54"/>
      <c r="C111" s="54"/>
      <c r="D111" s="260" t="s">
        <v>3</v>
      </c>
      <c r="E111" s="260"/>
      <c r="F111" s="260"/>
      <c r="G111" s="7">
        <v>1</v>
      </c>
      <c r="H111" s="71"/>
      <c r="I111" s="2"/>
      <c r="J111" s="2"/>
      <c r="K111" s="2"/>
      <c r="L111" s="260" t="s">
        <v>4</v>
      </c>
      <c r="M111" s="260"/>
      <c r="N111" s="240" t="s">
        <v>121</v>
      </c>
      <c r="O111" s="240"/>
      <c r="P111" s="240"/>
      <c r="Q111" s="240"/>
      <c r="R111" s="240"/>
      <c r="S111" s="240"/>
      <c r="T111" s="240"/>
      <c r="U111" s="15"/>
      <c r="V111" s="21"/>
      <c r="W111" s="21"/>
      <c r="X111" s="21"/>
    </row>
    <row r="112" spans="1:24" s="1" customFormat="1" ht="21.75" customHeight="1" x14ac:dyDescent="0.2">
      <c r="A112" s="241" t="s">
        <v>83</v>
      </c>
      <c r="B112" s="241" t="s">
        <v>6</v>
      </c>
      <c r="C112" s="241"/>
      <c r="D112" s="241" t="s">
        <v>7</v>
      </c>
      <c r="E112" s="175"/>
      <c r="F112" s="270" t="s">
        <v>8</v>
      </c>
      <c r="G112" s="270"/>
      <c r="H112" s="270"/>
      <c r="I112" s="241" t="s">
        <v>9</v>
      </c>
      <c r="J112" s="270" t="s">
        <v>10</v>
      </c>
      <c r="K112" s="270"/>
      <c r="L112" s="270"/>
      <c r="M112" s="270"/>
      <c r="N112" s="270"/>
      <c r="O112" s="270" t="s">
        <v>11</v>
      </c>
      <c r="P112" s="270"/>
      <c r="Q112" s="270"/>
      <c r="R112" s="270"/>
      <c r="S112" s="270"/>
      <c r="T112" s="270"/>
      <c r="U112" s="9"/>
      <c r="V112" s="22"/>
      <c r="W112" s="22"/>
      <c r="X112" s="22"/>
    </row>
    <row r="113" spans="1:25" s="1" customFormat="1" ht="21" customHeight="1" x14ac:dyDescent="0.2">
      <c r="A113" s="242"/>
      <c r="B113" s="245"/>
      <c r="C113" s="246"/>
      <c r="D113" s="242"/>
      <c r="E113" s="176"/>
      <c r="F113" s="100" t="s">
        <v>12</v>
      </c>
      <c r="G113" s="177" t="s">
        <v>13</v>
      </c>
      <c r="H113" s="177" t="s">
        <v>14</v>
      </c>
      <c r="I113" s="242"/>
      <c r="J113" s="177" t="s">
        <v>15</v>
      </c>
      <c r="K113" s="177" t="s">
        <v>57</v>
      </c>
      <c r="L113" s="177" t="s">
        <v>16</v>
      </c>
      <c r="M113" s="177" t="s">
        <v>17</v>
      </c>
      <c r="N113" s="177" t="s">
        <v>18</v>
      </c>
      <c r="O113" s="177" t="s">
        <v>19</v>
      </c>
      <c r="P113" s="177" t="s">
        <v>20</v>
      </c>
      <c r="Q113" s="177" t="s">
        <v>58</v>
      </c>
      <c r="R113" s="177" t="s">
        <v>59</v>
      </c>
      <c r="S113" s="177" t="s">
        <v>21</v>
      </c>
      <c r="T113" s="177" t="s">
        <v>22</v>
      </c>
      <c r="U113" s="9"/>
      <c r="V113" s="22"/>
      <c r="W113" s="22"/>
      <c r="X113" s="22"/>
    </row>
    <row r="114" spans="1:25" s="1" customFormat="1" ht="11.25" customHeight="1" x14ac:dyDescent="0.2">
      <c r="A114" s="182">
        <v>1</v>
      </c>
      <c r="B114" s="271">
        <v>2</v>
      </c>
      <c r="C114" s="271"/>
      <c r="D114" s="37">
        <v>3</v>
      </c>
      <c r="E114" s="37"/>
      <c r="F114" s="101">
        <v>4</v>
      </c>
      <c r="G114" s="37">
        <v>5</v>
      </c>
      <c r="H114" s="37">
        <v>6</v>
      </c>
      <c r="I114" s="37">
        <v>7</v>
      </c>
      <c r="J114" s="37">
        <v>8</v>
      </c>
      <c r="K114" s="37">
        <v>9</v>
      </c>
      <c r="L114" s="37">
        <v>10</v>
      </c>
      <c r="M114" s="37">
        <v>11</v>
      </c>
      <c r="N114" s="37">
        <v>12</v>
      </c>
      <c r="O114" s="37">
        <v>13</v>
      </c>
      <c r="P114" s="37">
        <v>14</v>
      </c>
      <c r="Q114" s="37">
        <v>15</v>
      </c>
      <c r="R114" s="37">
        <v>16</v>
      </c>
      <c r="S114" s="37">
        <v>17</v>
      </c>
      <c r="T114" s="37">
        <v>18</v>
      </c>
      <c r="U114" s="10"/>
      <c r="V114" s="23"/>
      <c r="W114" s="23"/>
      <c r="X114" s="23"/>
    </row>
    <row r="115" spans="1:25" s="1" customFormat="1" ht="11.25" customHeight="1" x14ac:dyDescent="0.2">
      <c r="A115" s="277" t="s">
        <v>26</v>
      </c>
      <c r="B115" s="277"/>
      <c r="C115" s="277"/>
      <c r="D115" s="277"/>
      <c r="E115" s="277"/>
      <c r="F115" s="277"/>
      <c r="G115" s="277"/>
      <c r="H115" s="277"/>
      <c r="I115" s="277"/>
      <c r="J115" s="277"/>
      <c r="K115" s="277"/>
      <c r="L115" s="277"/>
      <c r="M115" s="277"/>
      <c r="N115" s="277"/>
      <c r="O115" s="277"/>
      <c r="P115" s="277"/>
      <c r="Q115" s="277"/>
      <c r="R115" s="277"/>
      <c r="S115" s="277"/>
      <c r="T115" s="277"/>
      <c r="U115" s="11"/>
      <c r="V115" s="24"/>
      <c r="W115" s="24"/>
      <c r="X115" s="24"/>
    </row>
    <row r="116" spans="1:25" s="140" customFormat="1" ht="11.25" customHeight="1" x14ac:dyDescent="0.2">
      <c r="A116" s="121">
        <v>338</v>
      </c>
      <c r="B116" s="258" t="s">
        <v>109</v>
      </c>
      <c r="C116" s="258"/>
      <c r="D116" s="147">
        <v>100</v>
      </c>
      <c r="E116" s="148">
        <v>29.99</v>
      </c>
      <c r="F116" s="148">
        <v>0.4</v>
      </c>
      <c r="G116" s="148">
        <v>0.4</v>
      </c>
      <c r="H116" s="148">
        <v>9.8000000000000007</v>
      </c>
      <c r="I116" s="148">
        <f>F116*4+G116*9+H116*4</f>
        <v>44.400000000000006</v>
      </c>
      <c r="J116" s="148">
        <v>0.04</v>
      </c>
      <c r="K116" s="148">
        <v>0.02</v>
      </c>
      <c r="L116" s="147">
        <v>10</v>
      </c>
      <c r="M116" s="147">
        <v>0.02</v>
      </c>
      <c r="N116" s="148">
        <v>0.2</v>
      </c>
      <c r="O116" s="148">
        <v>16</v>
      </c>
      <c r="P116" s="148">
        <v>11</v>
      </c>
      <c r="Q116" s="147">
        <v>0.03</v>
      </c>
      <c r="R116" s="147">
        <v>2E-3</v>
      </c>
      <c r="S116" s="148">
        <v>9</v>
      </c>
      <c r="T116" s="148">
        <v>2.2000000000000002</v>
      </c>
      <c r="U116" s="150"/>
      <c r="V116" s="28"/>
      <c r="W116" s="28"/>
      <c r="X116" s="29"/>
    </row>
    <row r="117" spans="1:25" s="140" customFormat="1" ht="12" customHeight="1" x14ac:dyDescent="0.2">
      <c r="A117" s="121">
        <v>15</v>
      </c>
      <c r="B117" s="223" t="s">
        <v>77</v>
      </c>
      <c r="C117" s="224"/>
      <c r="D117" s="147">
        <v>25</v>
      </c>
      <c r="E117" s="148">
        <v>16</v>
      </c>
      <c r="F117" s="148">
        <f>2.32*D117/10</f>
        <v>5.7999999999999989</v>
      </c>
      <c r="G117" s="148">
        <f>3.4*D117/10</f>
        <v>8.5</v>
      </c>
      <c r="H117" s="148">
        <f>0.01*D117/10</f>
        <v>2.5000000000000001E-2</v>
      </c>
      <c r="I117" s="148">
        <f>F117*4+G117*9+H117*4</f>
        <v>99.799999999999983</v>
      </c>
      <c r="J117" s="148">
        <f>0.004*D117/10</f>
        <v>0.01</v>
      </c>
      <c r="K117" s="148">
        <f>0.03*D117/10</f>
        <v>7.4999999999999997E-2</v>
      </c>
      <c r="L117" s="148">
        <f>0.07*D117/10</f>
        <v>0.17500000000000002</v>
      </c>
      <c r="M117" s="149">
        <f>0.023*D117/10</f>
        <v>5.7499999999999996E-2</v>
      </c>
      <c r="N117" s="148">
        <f>0.05*D117/10</f>
        <v>0.125</v>
      </c>
      <c r="O117" s="148">
        <f>88*D117/10</f>
        <v>220</v>
      </c>
      <c r="P117" s="148">
        <f>50*D117/10</f>
        <v>125</v>
      </c>
      <c r="Q117" s="148">
        <f>0.4*D117/10</f>
        <v>1</v>
      </c>
      <c r="R117" s="149">
        <f>0.02*D117/10</f>
        <v>0.05</v>
      </c>
      <c r="S117" s="148">
        <f>3.5*D117/10</f>
        <v>8.75</v>
      </c>
      <c r="T117" s="148">
        <f>0.13*D117/10</f>
        <v>0.32500000000000001</v>
      </c>
      <c r="U117" s="150"/>
      <c r="V117" s="28"/>
      <c r="W117" s="28"/>
      <c r="X117" s="29"/>
    </row>
    <row r="118" spans="1:25" s="140" customFormat="1" ht="21.75" customHeight="1" x14ac:dyDescent="0.2">
      <c r="A118" s="182">
        <v>173</v>
      </c>
      <c r="B118" s="223" t="s">
        <v>115</v>
      </c>
      <c r="C118" s="224"/>
      <c r="D118" s="147">
        <v>250</v>
      </c>
      <c r="E118" s="148">
        <v>17.3</v>
      </c>
      <c r="F118" s="148">
        <v>9.125</v>
      </c>
      <c r="G118" s="148">
        <v>15.62</v>
      </c>
      <c r="H118" s="148">
        <v>67.87</v>
      </c>
      <c r="I118" s="148">
        <v>448.62</v>
      </c>
      <c r="J118" s="148">
        <v>0.17</v>
      </c>
      <c r="K118" s="148">
        <v>0.22500000000000001</v>
      </c>
      <c r="L118" s="148">
        <v>4.1879999999999997</v>
      </c>
      <c r="M118" s="149">
        <v>4.5999999999999999E-2</v>
      </c>
      <c r="N118" s="145">
        <v>1.62</v>
      </c>
      <c r="O118" s="148">
        <v>184.5</v>
      </c>
      <c r="P118" s="148">
        <v>248.25</v>
      </c>
      <c r="Q118" s="147">
        <v>0</v>
      </c>
      <c r="R118" s="149">
        <v>0</v>
      </c>
      <c r="S118" s="148">
        <v>72.25</v>
      </c>
      <c r="T118" s="148">
        <v>1.625</v>
      </c>
      <c r="U118" s="150"/>
      <c r="V118" s="222" t="s">
        <v>71</v>
      </c>
      <c r="W118" s="222" t="s">
        <v>72</v>
      </c>
      <c r="X118" s="222" t="s">
        <v>73</v>
      </c>
    </row>
    <row r="119" spans="1:25" s="140" customFormat="1" ht="12.75" customHeight="1" x14ac:dyDescent="0.2">
      <c r="A119" s="182">
        <v>377</v>
      </c>
      <c r="B119" s="258" t="s">
        <v>45</v>
      </c>
      <c r="C119" s="258"/>
      <c r="D119" s="147">
        <v>200</v>
      </c>
      <c r="E119" s="148">
        <v>3.61</v>
      </c>
      <c r="F119" s="148">
        <v>0.26</v>
      </c>
      <c r="G119" s="148">
        <v>0.06</v>
      </c>
      <c r="H119" s="148">
        <v>15.22</v>
      </c>
      <c r="I119" s="148">
        <f>F119*4+G119*9+H119*4</f>
        <v>62.46</v>
      </c>
      <c r="J119" s="148"/>
      <c r="K119" s="148">
        <v>0.01</v>
      </c>
      <c r="L119" s="148">
        <v>2.9</v>
      </c>
      <c r="M119" s="145">
        <v>0</v>
      </c>
      <c r="N119" s="148">
        <v>0.06</v>
      </c>
      <c r="O119" s="148">
        <v>8.0500000000000007</v>
      </c>
      <c r="P119" s="148">
        <v>9.7799999999999994</v>
      </c>
      <c r="Q119" s="148">
        <v>1.7000000000000001E-2</v>
      </c>
      <c r="R119" s="149">
        <v>0</v>
      </c>
      <c r="S119" s="148">
        <v>5.24</v>
      </c>
      <c r="T119" s="148">
        <v>0.87</v>
      </c>
      <c r="U119" s="150"/>
      <c r="V119" s="222"/>
      <c r="W119" s="222"/>
      <c r="X119" s="222"/>
    </row>
    <row r="120" spans="1:25" s="140" customFormat="1" ht="12.75" customHeight="1" x14ac:dyDescent="0.2">
      <c r="A120" s="153" t="s">
        <v>66</v>
      </c>
      <c r="B120" s="223" t="s">
        <v>53</v>
      </c>
      <c r="C120" s="224"/>
      <c r="D120" s="147">
        <v>40</v>
      </c>
      <c r="E120" s="148">
        <v>3.1</v>
      </c>
      <c r="F120" s="148">
        <f>1.52*D120/30</f>
        <v>2.0266666666666664</v>
      </c>
      <c r="G120" s="149">
        <f>0.16*D120/30</f>
        <v>0.21333333333333335</v>
      </c>
      <c r="H120" s="149">
        <f>9.84*D120/30</f>
        <v>13.120000000000001</v>
      </c>
      <c r="I120" s="149">
        <f>F120*4+G120*9+H120*4</f>
        <v>62.506666666666668</v>
      </c>
      <c r="J120" s="149">
        <f>0.02*D120/30</f>
        <v>2.6666666666666668E-2</v>
      </c>
      <c r="K120" s="149">
        <f>0.01*D120/30</f>
        <v>1.3333333333333334E-2</v>
      </c>
      <c r="L120" s="149">
        <f>0.44*D120/30</f>
        <v>0.58666666666666667</v>
      </c>
      <c r="M120" s="149">
        <v>0</v>
      </c>
      <c r="N120" s="149">
        <f>0.7*D120/30</f>
        <v>0.93333333333333335</v>
      </c>
      <c r="O120" s="149">
        <f>4*D120/30</f>
        <v>5.333333333333333</v>
      </c>
      <c r="P120" s="149">
        <f>13*D120/30</f>
        <v>17.333333333333332</v>
      </c>
      <c r="Q120" s="149">
        <f>0.008*D120/30</f>
        <v>1.0666666666666666E-2</v>
      </c>
      <c r="R120" s="149">
        <f>0.001*D120/30</f>
        <v>1.3333333333333333E-3</v>
      </c>
      <c r="S120" s="149">
        <v>0</v>
      </c>
      <c r="T120" s="149">
        <f>0.22*D120/30</f>
        <v>0.29333333333333333</v>
      </c>
      <c r="U120" s="150"/>
      <c r="V120" s="222"/>
      <c r="W120" s="222"/>
      <c r="X120" s="222"/>
    </row>
    <row r="121" spans="1:25" s="1" customFormat="1" ht="11.25" customHeight="1" x14ac:dyDescent="0.2">
      <c r="A121" s="60" t="s">
        <v>27</v>
      </c>
      <c r="B121" s="60"/>
      <c r="C121" s="60"/>
      <c r="D121" s="65">
        <f t="shared" ref="D121:T121" si="30">SUM(D116:D120)</f>
        <v>615</v>
      </c>
      <c r="E121" s="154">
        <f>SUM(E116:E120)</f>
        <v>69.999999999999986</v>
      </c>
      <c r="F121" s="39">
        <f t="shared" si="30"/>
        <v>17.611666666666665</v>
      </c>
      <c r="G121" s="38">
        <f t="shared" si="30"/>
        <v>24.793333333333333</v>
      </c>
      <c r="H121" s="38">
        <f t="shared" si="30"/>
        <v>106.03500000000001</v>
      </c>
      <c r="I121" s="38">
        <f t="shared" si="30"/>
        <v>717.78666666666663</v>
      </c>
      <c r="J121" s="39">
        <f t="shared" si="30"/>
        <v>0.2466666666666667</v>
      </c>
      <c r="K121" s="39">
        <f t="shared" si="30"/>
        <v>0.34333333333333332</v>
      </c>
      <c r="L121" s="39">
        <f t="shared" si="30"/>
        <v>17.849666666666664</v>
      </c>
      <c r="M121" s="39">
        <f t="shared" si="30"/>
        <v>0.1235</v>
      </c>
      <c r="N121" s="39">
        <f t="shared" si="30"/>
        <v>2.9383333333333335</v>
      </c>
      <c r="O121" s="39">
        <f t="shared" si="30"/>
        <v>433.88333333333333</v>
      </c>
      <c r="P121" s="39">
        <f t="shared" si="30"/>
        <v>411.36333333333329</v>
      </c>
      <c r="Q121" s="39">
        <f t="shared" si="30"/>
        <v>1.0576666666666665</v>
      </c>
      <c r="R121" s="40">
        <f t="shared" si="30"/>
        <v>5.3333333333333337E-2</v>
      </c>
      <c r="S121" s="39">
        <f t="shared" si="30"/>
        <v>95.24</v>
      </c>
      <c r="T121" s="39">
        <f t="shared" si="30"/>
        <v>5.3133333333333335</v>
      </c>
      <c r="U121" s="38"/>
      <c r="V121" s="76">
        <f>AVERAGE(I122,I157,I194,I229,I265)</f>
        <v>34.073602205882352</v>
      </c>
      <c r="W121" s="76" t="e">
        <f>AVERAGE(I133,I169,I207,I241,#REF!)</f>
        <v>#REF!</v>
      </c>
      <c r="X121" s="76">
        <f>AVERAGE(I139,I176,I213,I247,I281)</f>
        <v>816.58106666666663</v>
      </c>
      <c r="Y121" s="139"/>
    </row>
    <row r="122" spans="1:25" s="1" customFormat="1" ht="11.25" customHeight="1" x14ac:dyDescent="0.2">
      <c r="A122" s="261" t="s">
        <v>62</v>
      </c>
      <c r="B122" s="262"/>
      <c r="C122" s="262"/>
      <c r="D122" s="263"/>
      <c r="E122" s="174"/>
      <c r="F122" s="122">
        <f t="shared" ref="F122:T122" si="31">F121/F141</f>
        <v>0.19568518518518516</v>
      </c>
      <c r="G122" s="123">
        <f t="shared" si="31"/>
        <v>0.26949275362318842</v>
      </c>
      <c r="H122" s="123">
        <f t="shared" si="31"/>
        <v>0.2768537859007833</v>
      </c>
      <c r="I122" s="123">
        <f t="shared" si="31"/>
        <v>0.26389215686274509</v>
      </c>
      <c r="J122" s="123">
        <f t="shared" si="31"/>
        <v>0.17619047619047623</v>
      </c>
      <c r="K122" s="123">
        <f t="shared" si="31"/>
        <v>0.21458333333333332</v>
      </c>
      <c r="L122" s="123">
        <f t="shared" si="31"/>
        <v>0.25499523809523805</v>
      </c>
      <c r="M122" s="123">
        <f t="shared" si="31"/>
        <v>0.13722222222222222</v>
      </c>
      <c r="N122" s="123">
        <f t="shared" si="31"/>
        <v>0.24486111111111111</v>
      </c>
      <c r="O122" s="123">
        <f t="shared" si="31"/>
        <v>0.36156944444444444</v>
      </c>
      <c r="P122" s="123">
        <f t="shared" si="31"/>
        <v>0.34280277777777773</v>
      </c>
      <c r="Q122" s="123">
        <f t="shared" si="31"/>
        <v>7.5547619047619044E-2</v>
      </c>
      <c r="R122" s="123">
        <f t="shared" si="31"/>
        <v>0.53333333333333333</v>
      </c>
      <c r="S122" s="123">
        <f t="shared" si="31"/>
        <v>0.31746666666666667</v>
      </c>
      <c r="T122" s="123">
        <f t="shared" si="31"/>
        <v>0.29518518518518522</v>
      </c>
      <c r="U122" s="144"/>
      <c r="V122" s="143"/>
      <c r="W122" s="143"/>
      <c r="X122" s="143"/>
    </row>
    <row r="123" spans="1:25" s="1" customFormat="1" ht="11.25" hidden="1" customHeight="1" x14ac:dyDescent="0.2">
      <c r="A123" s="172"/>
      <c r="B123" s="173"/>
      <c r="C123" s="173"/>
      <c r="D123" s="174"/>
      <c r="E123" s="160">
        <f>70-E121</f>
        <v>0</v>
      </c>
      <c r="F123" s="124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44"/>
      <c r="V123" s="143"/>
      <c r="W123" s="143"/>
      <c r="X123" s="143"/>
    </row>
    <row r="124" spans="1:25" s="1" customFormat="1" ht="11.25" customHeight="1" x14ac:dyDescent="0.2">
      <c r="A124" s="277" t="s">
        <v>28</v>
      </c>
      <c r="B124" s="277"/>
      <c r="C124" s="277"/>
      <c r="D124" s="277"/>
      <c r="E124" s="277"/>
      <c r="F124" s="277"/>
      <c r="G124" s="277"/>
      <c r="H124" s="277"/>
      <c r="I124" s="277"/>
      <c r="J124" s="277"/>
      <c r="K124" s="277"/>
      <c r="L124" s="277"/>
      <c r="M124" s="277"/>
      <c r="N124" s="277"/>
      <c r="O124" s="277"/>
      <c r="P124" s="277"/>
      <c r="Q124" s="277"/>
      <c r="R124" s="277"/>
      <c r="S124" s="277"/>
      <c r="T124" s="277"/>
      <c r="U124" s="11"/>
      <c r="V124" s="24"/>
      <c r="W124" s="24"/>
      <c r="X124" s="24"/>
    </row>
    <row r="125" spans="1:25" s="141" customFormat="1" ht="21.75" customHeight="1" x14ac:dyDescent="0.2">
      <c r="A125" s="182">
        <v>24</v>
      </c>
      <c r="B125" s="272" t="s">
        <v>74</v>
      </c>
      <c r="C125" s="273"/>
      <c r="D125" s="147">
        <v>100</v>
      </c>
      <c r="E125" s="148">
        <v>21.64</v>
      </c>
      <c r="F125" s="148">
        <f>0.3*D125/60</f>
        <v>0.5</v>
      </c>
      <c r="G125" s="148">
        <f>2*D125/60</f>
        <v>3.3333333333333335</v>
      </c>
      <c r="H125" s="148">
        <f>1.6*D125/60</f>
        <v>2.6666666666666665</v>
      </c>
      <c r="I125" s="148">
        <f t="shared" ref="I125:I131" si="32">F125*4+G125*9+H125*4</f>
        <v>42.666666666666664</v>
      </c>
      <c r="J125" s="148">
        <f>0.06*D125/60</f>
        <v>0.1</v>
      </c>
      <c r="K125" s="148">
        <f>0.04*D125/60</f>
        <v>6.6666666666666666E-2</v>
      </c>
      <c r="L125" s="148">
        <f>12.4*D125/60</f>
        <v>20.666666666666668</v>
      </c>
      <c r="M125" s="149">
        <f>0.001*D125/60</f>
        <v>1.6666666666666668E-3</v>
      </c>
      <c r="N125" s="148">
        <f>1.5*D125/60</f>
        <v>2.5</v>
      </c>
      <c r="O125" s="148">
        <f>28.2*D125/60</f>
        <v>47</v>
      </c>
      <c r="P125" s="148">
        <f>32.3*D125/60</f>
        <v>53.833333333333329</v>
      </c>
      <c r="Q125" s="148">
        <f>0.3*D125/60</f>
        <v>0.5</v>
      </c>
      <c r="R125" s="149">
        <f>0.002*D125/60</f>
        <v>3.3333333333333335E-3</v>
      </c>
      <c r="S125" s="148">
        <f>18.6*D125/60</f>
        <v>31.000000000000004</v>
      </c>
      <c r="T125" s="148">
        <f>0.5*D125/60</f>
        <v>0.83333333333333337</v>
      </c>
      <c r="U125" s="150"/>
      <c r="V125" s="151"/>
      <c r="W125" s="151"/>
      <c r="X125" s="151"/>
    </row>
    <row r="126" spans="1:25" s="140" customFormat="1" ht="22.5" customHeight="1" x14ac:dyDescent="0.2">
      <c r="A126" s="182">
        <v>102</v>
      </c>
      <c r="B126" s="223" t="s">
        <v>93</v>
      </c>
      <c r="C126" s="224"/>
      <c r="D126" s="145">
        <v>250</v>
      </c>
      <c r="E126" s="148">
        <v>10.220000000000001</v>
      </c>
      <c r="F126" s="148">
        <v>6.22</v>
      </c>
      <c r="G126" s="148">
        <v>3.99</v>
      </c>
      <c r="H126" s="148">
        <v>21.73</v>
      </c>
      <c r="I126" s="148">
        <f t="shared" si="32"/>
        <v>147.71</v>
      </c>
      <c r="J126" s="148">
        <v>0.27</v>
      </c>
      <c r="K126" s="148">
        <v>0.09</v>
      </c>
      <c r="L126" s="148">
        <v>9</v>
      </c>
      <c r="M126" s="149">
        <v>1E-3</v>
      </c>
      <c r="N126" s="148">
        <v>0.25700000000000001</v>
      </c>
      <c r="O126" s="148">
        <v>54.13</v>
      </c>
      <c r="P126" s="148">
        <v>183.2</v>
      </c>
      <c r="Q126" s="148">
        <v>1.157</v>
      </c>
      <c r="R126" s="149">
        <v>1.2999999999999999E-2</v>
      </c>
      <c r="S126" s="148">
        <v>49.63</v>
      </c>
      <c r="T126" s="148">
        <v>1.03</v>
      </c>
      <c r="U126" s="150"/>
      <c r="V126" s="151"/>
      <c r="W126" s="151"/>
      <c r="X126" s="151"/>
    </row>
    <row r="127" spans="1:25" s="140" customFormat="1" ht="22.5" customHeight="1" x14ac:dyDescent="0.2">
      <c r="A127" s="182">
        <v>268</v>
      </c>
      <c r="B127" s="223" t="s">
        <v>90</v>
      </c>
      <c r="C127" s="224"/>
      <c r="D127" s="147">
        <v>100</v>
      </c>
      <c r="E127" s="148">
        <v>39.9</v>
      </c>
      <c r="F127" s="148">
        <f>13.46*D127/80</f>
        <v>16.824999999999999</v>
      </c>
      <c r="G127" s="146">
        <f>10.86*D127/80</f>
        <v>13.574999999999999</v>
      </c>
      <c r="H127" s="146">
        <f>5.34*D127/80</f>
        <v>6.6749999999999998</v>
      </c>
      <c r="I127" s="148">
        <f>F127*4+G127*9+H127*4</f>
        <v>216.17499999999998</v>
      </c>
      <c r="J127" s="148">
        <f>0.07*D127/80</f>
        <v>8.7500000000000008E-2</v>
      </c>
      <c r="K127" s="148">
        <f>0.23*D127/80</f>
        <v>0.28749999999999998</v>
      </c>
      <c r="L127" s="148">
        <f>0.75*D127/80</f>
        <v>0.9375</v>
      </c>
      <c r="M127" s="145">
        <f>0.2*D127/80</f>
        <v>0.25</v>
      </c>
      <c r="N127" s="149">
        <f>0.021*D127/80</f>
        <v>2.6250000000000002E-2</v>
      </c>
      <c r="O127" s="148">
        <f>73.74*D127/80</f>
        <v>92.174999999999983</v>
      </c>
      <c r="P127" s="146">
        <f>184.82*D127/80</f>
        <v>231.02500000000001</v>
      </c>
      <c r="Q127" s="148">
        <f>2.28*D127/80</f>
        <v>2.8499999999999996</v>
      </c>
      <c r="R127" s="149">
        <f>0.03*D127/80</f>
        <v>3.7499999999999999E-2</v>
      </c>
      <c r="S127" s="148">
        <f>29.86*D127/80</f>
        <v>37.325000000000003</v>
      </c>
      <c r="T127" s="148">
        <f>1.93*D127/80</f>
        <v>2.4125000000000001</v>
      </c>
      <c r="U127" s="150"/>
      <c r="V127" s="151"/>
      <c r="W127" s="151"/>
      <c r="X127" s="151"/>
    </row>
    <row r="128" spans="1:25" s="140" customFormat="1" ht="19.5" customHeight="1" x14ac:dyDescent="0.2">
      <c r="A128" s="182">
        <v>203</v>
      </c>
      <c r="B128" s="223" t="s">
        <v>79</v>
      </c>
      <c r="C128" s="224"/>
      <c r="D128" s="147">
        <v>180</v>
      </c>
      <c r="E128" s="148">
        <v>8.3699999999999992</v>
      </c>
      <c r="F128" s="148">
        <f>5.7*D128/150</f>
        <v>6.84</v>
      </c>
      <c r="G128" s="148">
        <f>3.43*D128/150</f>
        <v>4.1159999999999997</v>
      </c>
      <c r="H128" s="148">
        <f>36.45*D128/150</f>
        <v>43.740000000000009</v>
      </c>
      <c r="I128" s="148">
        <f t="shared" si="32"/>
        <v>239.36400000000003</v>
      </c>
      <c r="J128" s="148">
        <f>0.09*D128/150</f>
        <v>0.108</v>
      </c>
      <c r="K128" s="148">
        <f>0.03*D128/150</f>
        <v>3.5999999999999997E-2</v>
      </c>
      <c r="L128" s="148">
        <v>0</v>
      </c>
      <c r="M128" s="149">
        <f>0.03*D128/150</f>
        <v>3.5999999999999997E-2</v>
      </c>
      <c r="N128" s="148">
        <f>1.25*D128/150</f>
        <v>1.5</v>
      </c>
      <c r="O128" s="148">
        <f>13.28*D128/150</f>
        <v>15.936</v>
      </c>
      <c r="P128" s="148">
        <f>46.21*D128/150</f>
        <v>55.451999999999998</v>
      </c>
      <c r="Q128" s="148">
        <f>0.78*D128/150</f>
        <v>0.93600000000000005</v>
      </c>
      <c r="R128" s="149">
        <f>0.0015*D128/150</f>
        <v>1.8000000000000002E-3</v>
      </c>
      <c r="S128" s="148">
        <f>8.47*D128/150</f>
        <v>10.164000000000001</v>
      </c>
      <c r="T128" s="148">
        <f>0.86*D128/150</f>
        <v>1.032</v>
      </c>
      <c r="U128" s="150"/>
      <c r="V128" s="151"/>
      <c r="W128" s="151"/>
      <c r="X128" s="151"/>
    </row>
    <row r="129" spans="1:25" s="140" customFormat="1" ht="21.75" customHeight="1" x14ac:dyDescent="0.2">
      <c r="A129" s="153">
        <v>349</v>
      </c>
      <c r="B129" s="223" t="s">
        <v>96</v>
      </c>
      <c r="C129" s="224"/>
      <c r="D129" s="147">
        <v>200</v>
      </c>
      <c r="E129" s="148">
        <v>4.7300000000000004</v>
      </c>
      <c r="F129" s="148">
        <v>0.22</v>
      </c>
      <c r="G129" s="145"/>
      <c r="H129" s="148">
        <v>24.42</v>
      </c>
      <c r="I129" s="148">
        <f t="shared" si="32"/>
        <v>98.56</v>
      </c>
      <c r="J129" s="145"/>
      <c r="K129" s="145"/>
      <c r="L129" s="148">
        <v>26.11</v>
      </c>
      <c r="M129" s="145"/>
      <c r="N129" s="145"/>
      <c r="O129" s="146">
        <v>22.6</v>
      </c>
      <c r="P129" s="146">
        <v>7.7</v>
      </c>
      <c r="Q129" s="147">
        <v>0</v>
      </c>
      <c r="R129" s="147">
        <v>0</v>
      </c>
      <c r="S129" s="146">
        <v>3</v>
      </c>
      <c r="T129" s="148">
        <v>0.66</v>
      </c>
      <c r="U129" s="150"/>
      <c r="V129" s="151"/>
      <c r="W129" s="151"/>
      <c r="X129" s="151"/>
    </row>
    <row r="130" spans="1:25" s="140" customFormat="1" ht="11.25" customHeight="1" x14ac:dyDescent="0.2">
      <c r="A130" s="78" t="s">
        <v>66</v>
      </c>
      <c r="B130" s="223" t="s">
        <v>46</v>
      </c>
      <c r="C130" s="224"/>
      <c r="D130" s="147">
        <v>40</v>
      </c>
      <c r="E130" s="148">
        <v>2.04</v>
      </c>
      <c r="F130" s="148">
        <f>2.64*D130/40</f>
        <v>2.64</v>
      </c>
      <c r="G130" s="148">
        <f>0.48*D130/40</f>
        <v>0.48</v>
      </c>
      <c r="H130" s="148">
        <f>13.68*D130/40</f>
        <v>13.680000000000001</v>
      </c>
      <c r="I130" s="148">
        <f t="shared" si="32"/>
        <v>69.600000000000009</v>
      </c>
      <c r="J130" s="145">
        <f>0.08*D130/40</f>
        <v>0.08</v>
      </c>
      <c r="K130" s="148">
        <f>0.04*D130/40</f>
        <v>0.04</v>
      </c>
      <c r="L130" s="147">
        <v>0</v>
      </c>
      <c r="M130" s="147">
        <v>0</v>
      </c>
      <c r="N130" s="148">
        <f>2.4*D130/40</f>
        <v>2.4</v>
      </c>
      <c r="O130" s="148">
        <f>14*D130/40</f>
        <v>14</v>
      </c>
      <c r="P130" s="148">
        <f>63.2*D130/40</f>
        <v>63.2</v>
      </c>
      <c r="Q130" s="148">
        <f>1.2*D130/40</f>
        <v>1.2</v>
      </c>
      <c r="R130" s="149">
        <f>0.001*D130/40</f>
        <v>1E-3</v>
      </c>
      <c r="S130" s="148">
        <f>9.4*D130/40</f>
        <v>9.4</v>
      </c>
      <c r="T130" s="145">
        <f>0.78*D130/40</f>
        <v>0.78</v>
      </c>
      <c r="U130" s="30"/>
      <c r="V130" s="31"/>
      <c r="W130" s="31"/>
      <c r="X130" s="31"/>
    </row>
    <row r="131" spans="1:25" s="140" customFormat="1" ht="11.25" customHeight="1" x14ac:dyDescent="0.2">
      <c r="A131" s="153" t="s">
        <v>66</v>
      </c>
      <c r="B131" s="223" t="s">
        <v>53</v>
      </c>
      <c r="C131" s="224"/>
      <c r="D131" s="147">
        <v>40</v>
      </c>
      <c r="E131" s="148">
        <v>3.1</v>
      </c>
      <c r="F131" s="148">
        <f>1.52*D131/30</f>
        <v>2.0266666666666664</v>
      </c>
      <c r="G131" s="149">
        <f>0.16*D131/30</f>
        <v>0.21333333333333335</v>
      </c>
      <c r="H131" s="149">
        <f>9.84*D131/30</f>
        <v>13.120000000000001</v>
      </c>
      <c r="I131" s="149">
        <f t="shared" si="32"/>
        <v>62.506666666666668</v>
      </c>
      <c r="J131" s="149">
        <f>0.02*D131/30</f>
        <v>2.6666666666666668E-2</v>
      </c>
      <c r="K131" s="149">
        <f>0.01*D131/30</f>
        <v>1.3333333333333334E-2</v>
      </c>
      <c r="L131" s="149">
        <f>0.44*D131/30</f>
        <v>0.58666666666666667</v>
      </c>
      <c r="M131" s="149">
        <v>0</v>
      </c>
      <c r="N131" s="149">
        <f>0.7*D131/30</f>
        <v>0.93333333333333335</v>
      </c>
      <c r="O131" s="149">
        <f>4*D131/30</f>
        <v>5.333333333333333</v>
      </c>
      <c r="P131" s="149">
        <f>13*D131/30</f>
        <v>17.333333333333332</v>
      </c>
      <c r="Q131" s="149">
        <f>0.008*D131/30</f>
        <v>1.0666666666666666E-2</v>
      </c>
      <c r="R131" s="149">
        <f>0.001*D131/30</f>
        <v>1.3333333333333333E-3</v>
      </c>
      <c r="S131" s="149">
        <v>0</v>
      </c>
      <c r="T131" s="149">
        <f>0.22*D131/30</f>
        <v>0.29333333333333333</v>
      </c>
      <c r="U131" s="150"/>
      <c r="V131" s="151"/>
      <c r="W131" s="151"/>
      <c r="X131" s="151"/>
    </row>
    <row r="132" spans="1:25" s="1" customFormat="1" ht="11.25" customHeight="1" x14ac:dyDescent="0.2">
      <c r="A132" s="60" t="s">
        <v>29</v>
      </c>
      <c r="B132" s="60"/>
      <c r="C132" s="60"/>
      <c r="D132" s="65">
        <f t="shared" ref="D132:I132" si="33">SUM(D125:D131)</f>
        <v>910</v>
      </c>
      <c r="E132" s="154">
        <f t="shared" si="33"/>
        <v>90</v>
      </c>
      <c r="F132" s="39">
        <f t="shared" si="33"/>
        <v>35.271666666666661</v>
      </c>
      <c r="G132" s="39">
        <f t="shared" si="33"/>
        <v>25.707666666666668</v>
      </c>
      <c r="H132" s="39">
        <f t="shared" si="33"/>
        <v>126.03166666666669</v>
      </c>
      <c r="I132" s="38">
        <f t="shared" si="33"/>
        <v>876.58233333333339</v>
      </c>
      <c r="J132" s="39">
        <f t="shared" ref="J132:S132" si="34">SUM(J125:J131)</f>
        <v>0.67216666666666658</v>
      </c>
      <c r="K132" s="39">
        <f t="shared" si="34"/>
        <v>0.53349999999999997</v>
      </c>
      <c r="L132" s="39">
        <f t="shared" si="34"/>
        <v>57.300833333333337</v>
      </c>
      <c r="M132" s="39">
        <f t="shared" si="34"/>
        <v>0.28866666666666663</v>
      </c>
      <c r="N132" s="39">
        <f t="shared" si="34"/>
        <v>7.6165833333333346</v>
      </c>
      <c r="O132" s="39">
        <f t="shared" si="34"/>
        <v>251.17433333333332</v>
      </c>
      <c r="P132" s="39">
        <f t="shared" si="34"/>
        <v>611.74366666666674</v>
      </c>
      <c r="Q132" s="39">
        <f t="shared" si="34"/>
        <v>6.6536666666666662</v>
      </c>
      <c r="R132" s="40">
        <f t="shared" si="34"/>
        <v>5.7966666666666666E-2</v>
      </c>
      <c r="S132" s="39">
        <f t="shared" si="34"/>
        <v>140.51900000000003</v>
      </c>
      <c r="T132" s="39">
        <f>SUM(T125:T131)</f>
        <v>7.0411666666666664</v>
      </c>
      <c r="U132" s="38"/>
      <c r="V132" s="142"/>
      <c r="W132" s="142"/>
      <c r="X132" s="142"/>
    </row>
    <row r="133" spans="1:25" s="1" customFormat="1" ht="11.25" customHeight="1" x14ac:dyDescent="0.2">
      <c r="A133" s="261" t="s">
        <v>62</v>
      </c>
      <c r="B133" s="262"/>
      <c r="C133" s="262"/>
      <c r="D133" s="263"/>
      <c r="E133" s="174"/>
      <c r="F133" s="122">
        <f t="shared" ref="F133:T133" si="35">F132/F141</f>
        <v>0.39190740740740737</v>
      </c>
      <c r="G133" s="123">
        <f t="shared" si="35"/>
        <v>0.2794311594202899</v>
      </c>
      <c r="H133" s="123">
        <f t="shared" si="35"/>
        <v>0.32906440382941698</v>
      </c>
      <c r="I133" s="123">
        <f t="shared" si="35"/>
        <v>0.32227291666666669</v>
      </c>
      <c r="J133" s="123">
        <f t="shared" si="35"/>
        <v>0.48011904761904761</v>
      </c>
      <c r="K133" s="123">
        <f t="shared" si="35"/>
        <v>0.33343749999999994</v>
      </c>
      <c r="L133" s="123">
        <f t="shared" si="35"/>
        <v>0.81858333333333333</v>
      </c>
      <c r="M133" s="123">
        <f t="shared" si="35"/>
        <v>0.32074074074074072</v>
      </c>
      <c r="N133" s="123">
        <f t="shared" si="35"/>
        <v>0.63471527777777792</v>
      </c>
      <c r="O133" s="123">
        <f t="shared" si="35"/>
        <v>0.20931194444444443</v>
      </c>
      <c r="P133" s="123">
        <f t="shared" si="35"/>
        <v>0.50978638888888894</v>
      </c>
      <c r="Q133" s="123">
        <f t="shared" si="35"/>
        <v>0.47526190476190472</v>
      </c>
      <c r="R133" s="123">
        <f t="shared" si="35"/>
        <v>0.57966666666666666</v>
      </c>
      <c r="S133" s="123">
        <f t="shared" si="35"/>
        <v>0.46839666666666679</v>
      </c>
      <c r="T133" s="123">
        <f t="shared" si="35"/>
        <v>0.39117592592592593</v>
      </c>
      <c r="U133" s="144"/>
      <c r="V133" s="142"/>
      <c r="W133" s="142"/>
      <c r="X133" s="142"/>
      <c r="Y133" s="139"/>
    </row>
    <row r="134" spans="1:25" s="1" customFormat="1" ht="11.25" hidden="1" customHeight="1" x14ac:dyDescent="0.2">
      <c r="A134" s="83" t="s">
        <v>75</v>
      </c>
      <c r="B134" s="173"/>
      <c r="C134" s="173"/>
      <c r="D134" s="174"/>
      <c r="E134" s="160">
        <f>90-E132</f>
        <v>0</v>
      </c>
      <c r="F134" s="124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44"/>
      <c r="V134" s="142"/>
      <c r="W134" s="142"/>
      <c r="X134" s="142"/>
    </row>
    <row r="135" spans="1:25" s="1" customFormat="1" ht="11.25" customHeight="1" x14ac:dyDescent="0.2">
      <c r="A135" s="277" t="s">
        <v>30</v>
      </c>
      <c r="B135" s="277"/>
      <c r="C135" s="277"/>
      <c r="D135" s="277"/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7"/>
      <c r="Q135" s="277"/>
      <c r="R135" s="277"/>
      <c r="S135" s="277"/>
      <c r="T135" s="277"/>
      <c r="U135" s="11"/>
      <c r="V135" s="24"/>
      <c r="W135" s="24"/>
      <c r="X135" s="24"/>
    </row>
    <row r="136" spans="1:25" s="129" customFormat="1" ht="12" customHeight="1" x14ac:dyDescent="0.2">
      <c r="A136" s="135"/>
      <c r="B136" s="253"/>
      <c r="C136" s="253"/>
      <c r="D136" s="131"/>
      <c r="E136" s="130"/>
      <c r="F136" s="130"/>
      <c r="G136" s="203"/>
      <c r="H136" s="203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</row>
    <row r="137" spans="1:25" s="129" customFormat="1" ht="13.5" customHeight="1" x14ac:dyDescent="0.2">
      <c r="A137" s="211"/>
      <c r="B137" s="266"/>
      <c r="C137" s="266"/>
      <c r="D137" s="137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</row>
    <row r="138" spans="1:25" s="1" customFormat="1" ht="11.25" customHeight="1" x14ac:dyDescent="0.2">
      <c r="A138" s="61" t="s">
        <v>31</v>
      </c>
      <c r="B138" s="62"/>
      <c r="C138" s="62"/>
      <c r="D138" s="65">
        <f t="shared" ref="D138:T138" si="36">SUM(D136:D137)</f>
        <v>0</v>
      </c>
      <c r="E138" s="154">
        <f t="shared" si="36"/>
        <v>0</v>
      </c>
      <c r="F138" s="154">
        <f t="shared" si="36"/>
        <v>0</v>
      </c>
      <c r="G138" s="154">
        <f t="shared" si="36"/>
        <v>0</v>
      </c>
      <c r="H138" s="154">
        <f t="shared" si="36"/>
        <v>0</v>
      </c>
      <c r="I138" s="154">
        <f t="shared" si="36"/>
        <v>0</v>
      </c>
      <c r="J138" s="154">
        <f t="shared" si="36"/>
        <v>0</v>
      </c>
      <c r="K138" s="154">
        <f t="shared" si="36"/>
        <v>0</v>
      </c>
      <c r="L138" s="154">
        <f t="shared" si="36"/>
        <v>0</v>
      </c>
      <c r="M138" s="154">
        <f t="shared" si="36"/>
        <v>0</v>
      </c>
      <c r="N138" s="154">
        <f t="shared" si="36"/>
        <v>0</v>
      </c>
      <c r="O138" s="154">
        <f t="shared" si="36"/>
        <v>0</v>
      </c>
      <c r="P138" s="154">
        <f t="shared" si="36"/>
        <v>0</v>
      </c>
      <c r="Q138" s="154">
        <f t="shared" si="36"/>
        <v>0</v>
      </c>
      <c r="R138" s="154">
        <f t="shared" si="36"/>
        <v>0</v>
      </c>
      <c r="S138" s="154">
        <f t="shared" si="36"/>
        <v>0</v>
      </c>
      <c r="T138" s="154">
        <f t="shared" si="36"/>
        <v>0</v>
      </c>
      <c r="U138" s="38"/>
      <c r="V138" s="142"/>
      <c r="W138" s="142"/>
      <c r="X138" s="142"/>
    </row>
    <row r="139" spans="1:25" s="1" customFormat="1" ht="11.25" customHeight="1" x14ac:dyDescent="0.2">
      <c r="A139" s="261" t="s">
        <v>62</v>
      </c>
      <c r="B139" s="262"/>
      <c r="C139" s="262"/>
      <c r="D139" s="263"/>
      <c r="E139" s="127"/>
      <c r="F139" s="157">
        <f>F138/F141</f>
        <v>0</v>
      </c>
      <c r="G139" s="123">
        <f t="shared" ref="G139:T139" si="37">G138/G141</f>
        <v>0</v>
      </c>
      <c r="H139" s="123">
        <f t="shared" si="37"/>
        <v>0</v>
      </c>
      <c r="I139" s="123">
        <f t="shared" si="37"/>
        <v>0</v>
      </c>
      <c r="J139" s="123">
        <f t="shared" si="37"/>
        <v>0</v>
      </c>
      <c r="K139" s="123">
        <f t="shared" si="37"/>
        <v>0</v>
      </c>
      <c r="L139" s="123">
        <f t="shared" si="37"/>
        <v>0</v>
      </c>
      <c r="M139" s="123">
        <f t="shared" si="37"/>
        <v>0</v>
      </c>
      <c r="N139" s="123">
        <f t="shared" si="37"/>
        <v>0</v>
      </c>
      <c r="O139" s="123">
        <f t="shared" si="37"/>
        <v>0</v>
      </c>
      <c r="P139" s="123">
        <f t="shared" si="37"/>
        <v>0</v>
      </c>
      <c r="Q139" s="123">
        <f t="shared" si="37"/>
        <v>0</v>
      </c>
      <c r="R139" s="123">
        <f t="shared" si="37"/>
        <v>0</v>
      </c>
      <c r="S139" s="123">
        <f t="shared" si="37"/>
        <v>0</v>
      </c>
      <c r="T139" s="123">
        <f t="shared" si="37"/>
        <v>0</v>
      </c>
      <c r="U139" s="144"/>
      <c r="V139" s="142"/>
      <c r="W139" s="142"/>
      <c r="X139" s="142"/>
    </row>
    <row r="140" spans="1:25" s="1" customFormat="1" ht="11.25" customHeight="1" x14ac:dyDescent="0.2">
      <c r="A140" s="261" t="s">
        <v>61</v>
      </c>
      <c r="B140" s="262"/>
      <c r="C140" s="262"/>
      <c r="D140" s="263"/>
      <c r="E140" s="174"/>
      <c r="F140" s="39">
        <f t="shared" ref="F140:T140" si="38">SUM(F121,F132,F138)</f>
        <v>52.883333333333326</v>
      </c>
      <c r="G140" s="38">
        <f t="shared" si="38"/>
        <v>50.501000000000005</v>
      </c>
      <c r="H140" s="38">
        <f t="shared" si="38"/>
        <v>232.06666666666672</v>
      </c>
      <c r="I140" s="38">
        <f t="shared" si="38"/>
        <v>1594.3690000000001</v>
      </c>
      <c r="J140" s="39">
        <f t="shared" si="38"/>
        <v>0.91883333333333328</v>
      </c>
      <c r="K140" s="39">
        <f t="shared" si="38"/>
        <v>0.87683333333333335</v>
      </c>
      <c r="L140" s="39">
        <f t="shared" si="38"/>
        <v>75.150499999999994</v>
      </c>
      <c r="M140" s="39">
        <f t="shared" si="38"/>
        <v>0.41216666666666663</v>
      </c>
      <c r="N140" s="39">
        <f t="shared" si="38"/>
        <v>10.554916666666667</v>
      </c>
      <c r="O140" s="39">
        <f t="shared" si="38"/>
        <v>685.05766666666659</v>
      </c>
      <c r="P140" s="38">
        <f t="shared" si="38"/>
        <v>1023.107</v>
      </c>
      <c r="Q140" s="40">
        <f t="shared" si="38"/>
        <v>7.7113333333333323</v>
      </c>
      <c r="R140" s="40">
        <f t="shared" si="38"/>
        <v>0.11130000000000001</v>
      </c>
      <c r="S140" s="39">
        <f t="shared" si="38"/>
        <v>235.75900000000001</v>
      </c>
      <c r="T140" s="39">
        <f t="shared" si="38"/>
        <v>12.3545</v>
      </c>
      <c r="U140" s="42"/>
      <c r="V140" s="142"/>
      <c r="W140" s="142"/>
      <c r="X140" s="142"/>
    </row>
    <row r="141" spans="1:25" s="1" customFormat="1" ht="11.25" customHeight="1" x14ac:dyDescent="0.2">
      <c r="A141" s="261" t="s">
        <v>63</v>
      </c>
      <c r="B141" s="262"/>
      <c r="C141" s="262"/>
      <c r="D141" s="263"/>
      <c r="E141" s="174"/>
      <c r="F141" s="148">
        <v>90</v>
      </c>
      <c r="G141" s="146">
        <v>92</v>
      </c>
      <c r="H141" s="146">
        <v>383</v>
      </c>
      <c r="I141" s="146">
        <v>2720</v>
      </c>
      <c r="J141" s="148">
        <v>1.4</v>
      </c>
      <c r="K141" s="148">
        <v>1.6</v>
      </c>
      <c r="L141" s="147">
        <v>70</v>
      </c>
      <c r="M141" s="148">
        <v>0.9</v>
      </c>
      <c r="N141" s="147">
        <v>12</v>
      </c>
      <c r="O141" s="147">
        <v>1200</v>
      </c>
      <c r="P141" s="147">
        <v>1200</v>
      </c>
      <c r="Q141" s="147">
        <v>14</v>
      </c>
      <c r="R141" s="146">
        <v>0.1</v>
      </c>
      <c r="S141" s="147">
        <v>300</v>
      </c>
      <c r="T141" s="148">
        <v>18</v>
      </c>
      <c r="U141" s="150"/>
      <c r="V141" s="151"/>
      <c r="W141" s="151"/>
      <c r="X141" s="151"/>
    </row>
    <row r="142" spans="1:25" s="1" customFormat="1" ht="11.25" customHeight="1" x14ac:dyDescent="0.2">
      <c r="A142" s="261" t="s">
        <v>62</v>
      </c>
      <c r="B142" s="262"/>
      <c r="C142" s="262"/>
      <c r="D142" s="263"/>
      <c r="E142" s="174"/>
      <c r="F142" s="76">
        <f t="shared" ref="F142:T142" si="39">F140/F141</f>
        <v>0.58759259259259256</v>
      </c>
      <c r="G142" s="123">
        <f t="shared" si="39"/>
        <v>0.54892391304347832</v>
      </c>
      <c r="H142" s="44">
        <f t="shared" si="39"/>
        <v>0.60591818973020029</v>
      </c>
      <c r="I142" s="44">
        <f t="shared" si="39"/>
        <v>0.58616507352941183</v>
      </c>
      <c r="J142" s="44">
        <f t="shared" si="39"/>
        <v>0.65630952380952379</v>
      </c>
      <c r="K142" s="44">
        <f t="shared" si="39"/>
        <v>0.54802083333333329</v>
      </c>
      <c r="L142" s="44">
        <f t="shared" si="39"/>
        <v>1.0735785714285713</v>
      </c>
      <c r="M142" s="45">
        <f t="shared" si="39"/>
        <v>0.45796296296296291</v>
      </c>
      <c r="N142" s="44">
        <f t="shared" si="39"/>
        <v>0.87957638888888889</v>
      </c>
      <c r="O142" s="44">
        <f t="shared" si="39"/>
        <v>0.57088138888888884</v>
      </c>
      <c r="P142" s="44">
        <f t="shared" si="39"/>
        <v>0.85258916666666662</v>
      </c>
      <c r="Q142" s="44">
        <f t="shared" si="39"/>
        <v>0.55080952380952375</v>
      </c>
      <c r="R142" s="44">
        <f>R140/R141</f>
        <v>1.113</v>
      </c>
      <c r="S142" s="44">
        <f t="shared" si="39"/>
        <v>0.78586333333333336</v>
      </c>
      <c r="T142" s="45">
        <f t="shared" si="39"/>
        <v>0.68636111111111109</v>
      </c>
      <c r="U142" s="46"/>
      <c r="V142" s="47"/>
      <c r="W142" s="47"/>
      <c r="X142" s="47"/>
    </row>
    <row r="143" spans="1:25" s="1" customFormat="1" ht="11.25" customHeight="1" x14ac:dyDescent="0.2">
      <c r="A143" s="54"/>
      <c r="B143" s="54"/>
      <c r="C143" s="110"/>
      <c r="D143" s="110"/>
      <c r="E143" s="117"/>
      <c r="F143" s="102"/>
      <c r="G143" s="71"/>
      <c r="H143" s="2"/>
      <c r="I143" s="2"/>
      <c r="J143" s="71"/>
      <c r="K143" s="71"/>
      <c r="L143" s="71"/>
      <c r="M143" s="265" t="s">
        <v>65</v>
      </c>
      <c r="N143" s="265"/>
      <c r="O143" s="265"/>
      <c r="P143" s="265"/>
      <c r="Q143" s="265"/>
      <c r="R143" s="265"/>
      <c r="S143" s="265"/>
      <c r="T143" s="265"/>
      <c r="U143" s="12"/>
      <c r="V143" s="19"/>
      <c r="W143" s="19"/>
      <c r="X143" s="19"/>
    </row>
    <row r="144" spans="1:25" s="1" customFormat="1" ht="11.25" customHeight="1" x14ac:dyDescent="0.2">
      <c r="A144" s="54"/>
      <c r="B144" s="54"/>
      <c r="C144" s="110"/>
      <c r="D144" s="110"/>
      <c r="E144" s="117"/>
      <c r="F144" s="102"/>
      <c r="G144" s="71"/>
      <c r="H144" s="2"/>
      <c r="I144" s="2"/>
      <c r="J144" s="71"/>
      <c r="K144" s="71"/>
      <c r="L144" s="71"/>
      <c r="M144" s="111"/>
      <c r="N144" s="111"/>
      <c r="O144" s="111"/>
      <c r="P144" s="111"/>
      <c r="Q144" s="111"/>
      <c r="R144" s="111"/>
      <c r="S144" s="111"/>
      <c r="T144" s="111"/>
      <c r="U144" s="12"/>
      <c r="V144" s="19"/>
      <c r="W144" s="19"/>
      <c r="X144" s="19"/>
    </row>
    <row r="145" spans="1:24" s="1" customFormat="1" ht="11.25" customHeight="1" x14ac:dyDescent="0.2">
      <c r="A145" s="264" t="s">
        <v>38</v>
      </c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13"/>
      <c r="V145" s="25"/>
      <c r="W145" s="25"/>
      <c r="X145" s="25"/>
    </row>
    <row r="146" spans="1:24" s="1" customFormat="1" ht="11.25" customHeight="1" x14ac:dyDescent="0.2">
      <c r="A146" s="58" t="s">
        <v>55</v>
      </c>
      <c r="B146" s="54"/>
      <c r="C146" s="54"/>
      <c r="D146" s="2"/>
      <c r="E146" s="2"/>
      <c r="F146" s="34"/>
      <c r="G146" s="240" t="s">
        <v>39</v>
      </c>
      <c r="H146" s="240"/>
      <c r="I146" s="240"/>
      <c r="J146" s="71"/>
      <c r="K146" s="71"/>
      <c r="L146" s="247" t="s">
        <v>2</v>
      </c>
      <c r="M146" s="247"/>
      <c r="N146" s="259"/>
      <c r="O146" s="259"/>
      <c r="P146" s="259"/>
      <c r="Q146" s="259"/>
      <c r="R146" s="71"/>
      <c r="S146" s="71"/>
      <c r="T146" s="71"/>
      <c r="U146" s="14"/>
      <c r="V146" s="20"/>
      <c r="W146" s="20"/>
      <c r="X146" s="20"/>
    </row>
    <row r="147" spans="1:24" s="1" customFormat="1" ht="11.25" customHeight="1" x14ac:dyDescent="0.2">
      <c r="A147" s="54"/>
      <c r="B147" s="54"/>
      <c r="C147" s="54"/>
      <c r="D147" s="260" t="s">
        <v>3</v>
      </c>
      <c r="E147" s="260"/>
      <c r="F147" s="260"/>
      <c r="G147" s="7">
        <v>1</v>
      </c>
      <c r="H147" s="71"/>
      <c r="I147" s="2"/>
      <c r="J147" s="2"/>
      <c r="K147" s="2"/>
      <c r="L147" s="260" t="s">
        <v>4</v>
      </c>
      <c r="M147" s="260"/>
      <c r="N147" s="240" t="s">
        <v>121</v>
      </c>
      <c r="O147" s="240"/>
      <c r="P147" s="240"/>
      <c r="Q147" s="240"/>
      <c r="R147" s="240"/>
      <c r="S147" s="240"/>
      <c r="T147" s="240"/>
      <c r="U147" s="15"/>
      <c r="V147" s="21"/>
      <c r="W147" s="21"/>
      <c r="X147" s="21"/>
    </row>
    <row r="148" spans="1:24" s="1" customFormat="1" ht="21.75" customHeight="1" x14ac:dyDescent="0.2">
      <c r="A148" s="241" t="s">
        <v>5</v>
      </c>
      <c r="B148" s="243" t="s">
        <v>6</v>
      </c>
      <c r="C148" s="244"/>
      <c r="D148" s="241" t="s">
        <v>7</v>
      </c>
      <c r="E148" s="119"/>
      <c r="F148" s="248" t="s">
        <v>8</v>
      </c>
      <c r="G148" s="249"/>
      <c r="H148" s="250"/>
      <c r="I148" s="241" t="s">
        <v>9</v>
      </c>
      <c r="J148" s="248" t="s">
        <v>10</v>
      </c>
      <c r="K148" s="249"/>
      <c r="L148" s="249"/>
      <c r="M148" s="249"/>
      <c r="N148" s="250"/>
      <c r="O148" s="248" t="s">
        <v>11</v>
      </c>
      <c r="P148" s="249"/>
      <c r="Q148" s="249"/>
      <c r="R148" s="249"/>
      <c r="S148" s="249"/>
      <c r="T148" s="250"/>
      <c r="U148" s="9"/>
      <c r="V148" s="22"/>
      <c r="W148" s="22"/>
      <c r="X148" s="22"/>
    </row>
    <row r="149" spans="1:24" s="1" customFormat="1" ht="21" customHeight="1" x14ac:dyDescent="0.2">
      <c r="A149" s="242"/>
      <c r="B149" s="245"/>
      <c r="C149" s="246"/>
      <c r="D149" s="242"/>
      <c r="E149" s="118"/>
      <c r="F149" s="100" t="s">
        <v>12</v>
      </c>
      <c r="G149" s="112" t="s">
        <v>13</v>
      </c>
      <c r="H149" s="112" t="s">
        <v>14</v>
      </c>
      <c r="I149" s="242"/>
      <c r="J149" s="112" t="s">
        <v>15</v>
      </c>
      <c r="K149" s="112" t="s">
        <v>57</v>
      </c>
      <c r="L149" s="112" t="s">
        <v>16</v>
      </c>
      <c r="M149" s="112" t="s">
        <v>17</v>
      </c>
      <c r="N149" s="112" t="s">
        <v>18</v>
      </c>
      <c r="O149" s="112" t="s">
        <v>19</v>
      </c>
      <c r="P149" s="112" t="s">
        <v>20</v>
      </c>
      <c r="Q149" s="112" t="s">
        <v>58</v>
      </c>
      <c r="R149" s="112" t="s">
        <v>59</v>
      </c>
      <c r="S149" s="112" t="s">
        <v>21</v>
      </c>
      <c r="T149" s="112" t="s">
        <v>22</v>
      </c>
      <c r="U149" s="9"/>
      <c r="V149" s="22"/>
      <c r="W149" s="22"/>
      <c r="X149" s="22"/>
    </row>
    <row r="150" spans="1:24" s="1" customFormat="1" ht="11.25" customHeight="1" x14ac:dyDescent="0.2">
      <c r="A150" s="113">
        <v>1</v>
      </c>
      <c r="B150" s="256">
        <v>2</v>
      </c>
      <c r="C150" s="257"/>
      <c r="D150" s="37">
        <v>3</v>
      </c>
      <c r="E150" s="37"/>
      <c r="F150" s="101">
        <v>4</v>
      </c>
      <c r="G150" s="37">
        <v>5</v>
      </c>
      <c r="H150" s="37">
        <v>6</v>
      </c>
      <c r="I150" s="37">
        <v>7</v>
      </c>
      <c r="J150" s="37">
        <v>8</v>
      </c>
      <c r="K150" s="37">
        <v>9</v>
      </c>
      <c r="L150" s="37">
        <v>10</v>
      </c>
      <c r="M150" s="37">
        <v>11</v>
      </c>
      <c r="N150" s="37">
        <v>12</v>
      </c>
      <c r="O150" s="37">
        <v>13</v>
      </c>
      <c r="P150" s="37">
        <v>14</v>
      </c>
      <c r="Q150" s="37">
        <v>15</v>
      </c>
      <c r="R150" s="37">
        <v>16</v>
      </c>
      <c r="S150" s="37">
        <v>17</v>
      </c>
      <c r="T150" s="37">
        <v>18</v>
      </c>
      <c r="U150" s="10"/>
      <c r="V150" s="23"/>
      <c r="W150" s="23"/>
      <c r="X150" s="23"/>
    </row>
    <row r="151" spans="1:24" s="1" customFormat="1" ht="11.25" customHeight="1" x14ac:dyDescent="0.2">
      <c r="A151" s="234" t="s">
        <v>26</v>
      </c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6"/>
      <c r="U151" s="11"/>
      <c r="V151" s="24"/>
      <c r="W151" s="24"/>
      <c r="X151" s="24"/>
    </row>
    <row r="152" spans="1:24" s="1" customFormat="1" ht="11.25" customHeight="1" x14ac:dyDescent="0.2">
      <c r="A152" s="82">
        <v>131</v>
      </c>
      <c r="B152" s="223" t="s">
        <v>80</v>
      </c>
      <c r="C152" s="224"/>
      <c r="D152" s="195">
        <v>30</v>
      </c>
      <c r="E152" s="148">
        <v>6.45</v>
      </c>
      <c r="F152" s="87">
        <f>4.6*D152/20</f>
        <v>6.9</v>
      </c>
      <c r="G152" s="88">
        <f>0.24*D152/20</f>
        <v>0.36</v>
      </c>
      <c r="H152" s="87">
        <f>10.66*D152/20</f>
        <v>15.99</v>
      </c>
      <c r="I152" s="87">
        <f t="shared" ref="I152:I157" si="40">F152*4+G152*9+H152*4</f>
        <v>94.8</v>
      </c>
      <c r="J152" s="88">
        <f>0.16*D152/20</f>
        <v>0.24</v>
      </c>
      <c r="K152" s="88">
        <f>0.04*D152/20</f>
        <v>0.06</v>
      </c>
      <c r="L152" s="86">
        <v>0</v>
      </c>
      <c r="M152" s="107">
        <f>0.002*D152/20</f>
        <v>3.0000000000000001E-3</v>
      </c>
      <c r="N152" s="88">
        <f>1.82*D152/20</f>
        <v>2.73</v>
      </c>
      <c r="O152" s="89">
        <f>23*D152/20</f>
        <v>34.5</v>
      </c>
      <c r="P152" s="89">
        <f>65.8*D152/20</f>
        <v>98.7</v>
      </c>
      <c r="Q152" s="87">
        <f>0.64*D152/20</f>
        <v>0.96</v>
      </c>
      <c r="R152" s="107">
        <f>0.00102*D152/20</f>
        <v>1.5300000000000001E-3</v>
      </c>
      <c r="S152" s="89">
        <f>21.4*D152/20</f>
        <v>32.1</v>
      </c>
      <c r="T152" s="107">
        <f>0.004*D152/20</f>
        <v>6.0000000000000001E-3</v>
      </c>
      <c r="U152" s="11"/>
      <c r="V152" s="24"/>
      <c r="W152" s="24"/>
      <c r="X152" s="24"/>
    </row>
    <row r="153" spans="1:24" s="3" customFormat="1" ht="11.25" customHeight="1" x14ac:dyDescent="0.2">
      <c r="A153" s="121">
        <v>15</v>
      </c>
      <c r="B153" s="223" t="s">
        <v>77</v>
      </c>
      <c r="C153" s="224"/>
      <c r="D153" s="70">
        <v>20</v>
      </c>
      <c r="E153" s="148">
        <v>12.8</v>
      </c>
      <c r="F153" s="72">
        <f>2.32*D153/10</f>
        <v>4.6399999999999997</v>
      </c>
      <c r="G153" s="72">
        <f>3.4*D153/10</f>
        <v>6.8</v>
      </c>
      <c r="H153" s="72">
        <f>0.01*D153/10</f>
        <v>0.02</v>
      </c>
      <c r="I153" s="72">
        <f t="shared" si="40"/>
        <v>79.839999999999989</v>
      </c>
      <c r="J153" s="72">
        <f>0.004*D153/10</f>
        <v>8.0000000000000002E-3</v>
      </c>
      <c r="K153" s="72">
        <f>0.03*D153/10</f>
        <v>0.06</v>
      </c>
      <c r="L153" s="72">
        <f>0.07*D153/10</f>
        <v>0.14000000000000001</v>
      </c>
      <c r="M153" s="73">
        <f>0.023*D153/10</f>
        <v>4.5999999999999999E-2</v>
      </c>
      <c r="N153" s="72">
        <f>0.05*D153/10</f>
        <v>0.1</v>
      </c>
      <c r="O153" s="72">
        <f>88*D153/10</f>
        <v>176</v>
      </c>
      <c r="P153" s="72">
        <f>50*D153/10</f>
        <v>100</v>
      </c>
      <c r="Q153" s="72">
        <f>0.4*D153/10</f>
        <v>0.8</v>
      </c>
      <c r="R153" s="73">
        <f>0.02*D153/10</f>
        <v>0.04</v>
      </c>
      <c r="S153" s="72">
        <f>3.5*D153/10</f>
        <v>7</v>
      </c>
      <c r="T153" s="72">
        <f>0.13*D153/10</f>
        <v>0.26</v>
      </c>
      <c r="U153" s="74"/>
      <c r="V153" s="75"/>
      <c r="W153" s="75"/>
      <c r="X153" s="75"/>
    </row>
    <row r="154" spans="1:24" s="3" customFormat="1" ht="13.5" customHeight="1" x14ac:dyDescent="0.2">
      <c r="A154" s="113">
        <v>210</v>
      </c>
      <c r="B154" s="223" t="s">
        <v>48</v>
      </c>
      <c r="C154" s="224"/>
      <c r="D154" s="70">
        <v>150</v>
      </c>
      <c r="E154" s="148">
        <v>31.45</v>
      </c>
      <c r="F154" s="72">
        <f>16.29*D154/200</f>
        <v>12.217499999999999</v>
      </c>
      <c r="G154" s="72">
        <f>18.99*D154/200</f>
        <v>14.242499999999998</v>
      </c>
      <c r="H154" s="72">
        <f>5.04*D154/200</f>
        <v>3.78</v>
      </c>
      <c r="I154" s="72">
        <f t="shared" si="40"/>
        <v>192.17249999999999</v>
      </c>
      <c r="J154" s="72">
        <f>0.117*D154/200</f>
        <v>8.7750000000000009E-2</v>
      </c>
      <c r="K154" s="72">
        <f>0.27*D154/200</f>
        <v>0.20250000000000001</v>
      </c>
      <c r="L154" s="72">
        <f>0.324*D154/200</f>
        <v>0.24299999999999999</v>
      </c>
      <c r="M154" s="72">
        <f>0.036*D154/200</f>
        <v>2.6999999999999996E-2</v>
      </c>
      <c r="N154" s="68">
        <f>1.94*D154/200</f>
        <v>1.4550000000000001</v>
      </c>
      <c r="O154" s="72">
        <f>131.38*D154/200</f>
        <v>98.534999999999997</v>
      </c>
      <c r="P154" s="72">
        <f>248.5*D154/200</f>
        <v>186.375</v>
      </c>
      <c r="Q154" s="72">
        <f>1.35*D154/200</f>
        <v>1.0125</v>
      </c>
      <c r="R154" s="72">
        <f>0.03*D154/200</f>
        <v>2.2499999999999999E-2</v>
      </c>
      <c r="S154" s="72">
        <f>21.55*D154/200</f>
        <v>16.162500000000001</v>
      </c>
      <c r="T154" s="72">
        <f>1.51*D154/200</f>
        <v>1.1325000000000001</v>
      </c>
      <c r="U154" s="74"/>
      <c r="V154" s="75"/>
      <c r="W154" s="75"/>
      <c r="X154" s="75"/>
    </row>
    <row r="155" spans="1:24" s="71" customFormat="1" x14ac:dyDescent="0.2">
      <c r="A155" s="121">
        <v>338</v>
      </c>
      <c r="B155" s="258" t="s">
        <v>109</v>
      </c>
      <c r="C155" s="258"/>
      <c r="D155" s="70">
        <v>100</v>
      </c>
      <c r="E155" s="148">
        <v>12.59</v>
      </c>
      <c r="F155" s="72">
        <v>0.4</v>
      </c>
      <c r="G155" s="68">
        <v>0.4</v>
      </c>
      <c r="H155" s="69">
        <v>9.8000000000000007</v>
      </c>
      <c r="I155" s="69">
        <f t="shared" si="40"/>
        <v>44.400000000000006</v>
      </c>
      <c r="J155" s="72">
        <v>0.04</v>
      </c>
      <c r="K155" s="72">
        <v>0.02</v>
      </c>
      <c r="L155" s="70">
        <v>10</v>
      </c>
      <c r="M155" s="70">
        <v>0.02</v>
      </c>
      <c r="N155" s="72">
        <v>0.2</v>
      </c>
      <c r="O155" s="72">
        <v>16</v>
      </c>
      <c r="P155" s="72">
        <v>11</v>
      </c>
      <c r="Q155" s="70">
        <v>0.03</v>
      </c>
      <c r="R155" s="70">
        <v>2E-3</v>
      </c>
      <c r="S155" s="72">
        <v>9</v>
      </c>
      <c r="T155" s="72">
        <v>2.2000000000000002</v>
      </c>
      <c r="U155" s="74"/>
      <c r="V155" s="75"/>
      <c r="W155" s="75"/>
      <c r="X155" s="75"/>
    </row>
    <row r="156" spans="1:24" s="140" customFormat="1" ht="12.75" customHeight="1" x14ac:dyDescent="0.2">
      <c r="A156" s="156">
        <v>377</v>
      </c>
      <c r="B156" s="258" t="s">
        <v>45</v>
      </c>
      <c r="C156" s="258"/>
      <c r="D156" s="147">
        <v>200</v>
      </c>
      <c r="E156" s="148">
        <v>3.61</v>
      </c>
      <c r="F156" s="148">
        <v>0.26</v>
      </c>
      <c r="G156" s="148">
        <v>0.06</v>
      </c>
      <c r="H156" s="148">
        <v>15.22</v>
      </c>
      <c r="I156" s="148">
        <f t="shared" si="40"/>
        <v>62.46</v>
      </c>
      <c r="J156" s="148"/>
      <c r="K156" s="148">
        <v>0.01</v>
      </c>
      <c r="L156" s="148">
        <v>2.9</v>
      </c>
      <c r="M156" s="145">
        <v>0</v>
      </c>
      <c r="N156" s="148">
        <v>0.06</v>
      </c>
      <c r="O156" s="148">
        <v>8.0500000000000007</v>
      </c>
      <c r="P156" s="148">
        <v>9.7799999999999994</v>
      </c>
      <c r="Q156" s="148">
        <v>1.7000000000000001E-2</v>
      </c>
      <c r="R156" s="149">
        <v>0</v>
      </c>
      <c r="S156" s="148">
        <v>5.24</v>
      </c>
      <c r="T156" s="148">
        <v>0.87</v>
      </c>
      <c r="U156" s="150"/>
      <c r="V156" s="151"/>
      <c r="W156" s="151"/>
      <c r="X156" s="151"/>
    </row>
    <row r="157" spans="1:24" s="3" customFormat="1" ht="12.75" customHeight="1" x14ac:dyDescent="0.2">
      <c r="A157" s="77" t="s">
        <v>66</v>
      </c>
      <c r="B157" s="223" t="s">
        <v>53</v>
      </c>
      <c r="C157" s="224"/>
      <c r="D157" s="70">
        <v>40</v>
      </c>
      <c r="E157" s="148">
        <v>3.1</v>
      </c>
      <c r="F157" s="72">
        <f>1.52*D157/30</f>
        <v>2.0266666666666664</v>
      </c>
      <c r="G157" s="73">
        <f>0.16*D157/30</f>
        <v>0.21333333333333335</v>
      </c>
      <c r="H157" s="73">
        <f>9.84*D157/30</f>
        <v>13.120000000000001</v>
      </c>
      <c r="I157" s="73">
        <f t="shared" si="40"/>
        <v>62.506666666666668</v>
      </c>
      <c r="J157" s="73">
        <f>0.02*D157/30</f>
        <v>2.6666666666666668E-2</v>
      </c>
      <c r="K157" s="73">
        <f>0.01*D157/30</f>
        <v>1.3333333333333334E-2</v>
      </c>
      <c r="L157" s="73">
        <f>0.44*D157/30</f>
        <v>0.58666666666666667</v>
      </c>
      <c r="M157" s="73">
        <v>0</v>
      </c>
      <c r="N157" s="73">
        <f>0.7*D157/30</f>
        <v>0.93333333333333335</v>
      </c>
      <c r="O157" s="73">
        <f>4*D157/30</f>
        <v>5.333333333333333</v>
      </c>
      <c r="P157" s="73">
        <f>13*D157/30</f>
        <v>17.333333333333332</v>
      </c>
      <c r="Q157" s="73">
        <f>0.008*D157/30</f>
        <v>1.0666666666666666E-2</v>
      </c>
      <c r="R157" s="73">
        <f>0.001*D157/30</f>
        <v>1.3333333333333333E-3</v>
      </c>
      <c r="S157" s="73">
        <v>0</v>
      </c>
      <c r="T157" s="73">
        <f>0.22*D157/30</f>
        <v>0.29333333333333333</v>
      </c>
      <c r="U157" s="74"/>
      <c r="V157" s="75"/>
      <c r="W157" s="75"/>
      <c r="X157" s="75"/>
    </row>
    <row r="158" spans="1:24" s="3" customFormat="1" ht="11.25" customHeight="1" x14ac:dyDescent="0.2">
      <c r="A158" s="61" t="s">
        <v>27</v>
      </c>
      <c r="B158" s="62"/>
      <c r="C158" s="62"/>
      <c r="D158" s="65">
        <f>SUM(D152:D157)</f>
        <v>540</v>
      </c>
      <c r="E158" s="154">
        <f>SUM(E152:E157)</f>
        <v>70</v>
      </c>
      <c r="F158" s="39">
        <f>SUM(F152:F157)</f>
        <v>26.444166666666668</v>
      </c>
      <c r="G158" s="39">
        <f t="shared" ref="G158:T158" si="41">SUM(G152:G157)</f>
        <v>22.075833333333328</v>
      </c>
      <c r="H158" s="39">
        <f t="shared" si="41"/>
        <v>57.930000000000007</v>
      </c>
      <c r="I158" s="39">
        <f t="shared" si="41"/>
        <v>536.17916666666667</v>
      </c>
      <c r="J158" s="39">
        <f t="shared" si="41"/>
        <v>0.40241666666666664</v>
      </c>
      <c r="K158" s="39">
        <f t="shared" si="41"/>
        <v>0.36583333333333334</v>
      </c>
      <c r="L158" s="39">
        <f t="shared" si="41"/>
        <v>13.869666666666665</v>
      </c>
      <c r="M158" s="39">
        <f t="shared" si="41"/>
        <v>9.6000000000000002E-2</v>
      </c>
      <c r="N158" s="39">
        <f t="shared" si="41"/>
        <v>5.4783333333333335</v>
      </c>
      <c r="O158" s="39">
        <f t="shared" si="41"/>
        <v>338.41833333333329</v>
      </c>
      <c r="P158" s="39">
        <f t="shared" si="41"/>
        <v>423.18833333333328</v>
      </c>
      <c r="Q158" s="39">
        <f t="shared" si="41"/>
        <v>2.8301666666666665</v>
      </c>
      <c r="R158" s="39">
        <f t="shared" si="41"/>
        <v>6.7363333333333344E-2</v>
      </c>
      <c r="S158" s="39">
        <f t="shared" si="41"/>
        <v>69.502499999999998</v>
      </c>
      <c r="T158" s="39">
        <f t="shared" si="41"/>
        <v>4.7618333333333336</v>
      </c>
      <c r="U158" s="38"/>
      <c r="V158" s="41"/>
      <c r="W158" s="41"/>
      <c r="X158" s="41"/>
    </row>
    <row r="159" spans="1:24" s="3" customFormat="1" ht="11.25" customHeight="1" x14ac:dyDescent="0.2">
      <c r="A159" s="231" t="s">
        <v>62</v>
      </c>
      <c r="B159" s="232"/>
      <c r="C159" s="232"/>
      <c r="D159" s="233"/>
      <c r="E159" s="115"/>
      <c r="F159" s="106">
        <f t="shared" ref="F159:T159" si="42">F158/F178</f>
        <v>0.29382407407407407</v>
      </c>
      <c r="G159" s="76">
        <f t="shared" si="42"/>
        <v>0.23995471014492747</v>
      </c>
      <c r="H159" s="76">
        <f t="shared" si="42"/>
        <v>0.15125326370757181</v>
      </c>
      <c r="I159" s="76">
        <f t="shared" si="42"/>
        <v>0.19712469362745097</v>
      </c>
      <c r="J159" s="76">
        <f t="shared" si="42"/>
        <v>0.28744047619047619</v>
      </c>
      <c r="K159" s="76">
        <f t="shared" si="42"/>
        <v>0.22864583333333333</v>
      </c>
      <c r="L159" s="76">
        <f t="shared" si="42"/>
        <v>0.19813809523809522</v>
      </c>
      <c r="M159" s="76">
        <f t="shared" si="42"/>
        <v>0.10666666666666666</v>
      </c>
      <c r="N159" s="76">
        <f t="shared" si="42"/>
        <v>0.45652777777777781</v>
      </c>
      <c r="O159" s="76">
        <f t="shared" si="42"/>
        <v>0.28201527777777774</v>
      </c>
      <c r="P159" s="76">
        <f t="shared" si="42"/>
        <v>0.3526569444444444</v>
      </c>
      <c r="Q159" s="76">
        <f t="shared" si="42"/>
        <v>0.20215476190476189</v>
      </c>
      <c r="R159" s="76">
        <f t="shared" si="42"/>
        <v>0.67363333333333342</v>
      </c>
      <c r="S159" s="76">
        <f t="shared" si="42"/>
        <v>0.23167499999999999</v>
      </c>
      <c r="T159" s="44">
        <f t="shared" si="42"/>
        <v>0.26454629629629633</v>
      </c>
      <c r="U159" s="48"/>
      <c r="V159" s="41"/>
      <c r="W159" s="41"/>
      <c r="X159" s="41"/>
    </row>
    <row r="160" spans="1:24" s="140" customFormat="1" ht="11.25" hidden="1" customHeight="1" x14ac:dyDescent="0.2">
      <c r="A160" s="158"/>
      <c r="B160" s="159"/>
      <c r="C160" s="159"/>
      <c r="D160" s="159"/>
      <c r="E160" s="171">
        <f>70-E158</f>
        <v>0</v>
      </c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69"/>
      <c r="U160" s="144"/>
      <c r="V160" s="142"/>
      <c r="W160" s="142"/>
      <c r="X160" s="142"/>
    </row>
    <row r="161" spans="1:24" s="3" customFormat="1" ht="11.25" customHeight="1" x14ac:dyDescent="0.2">
      <c r="A161" s="234" t="s">
        <v>28</v>
      </c>
      <c r="B161" s="235"/>
      <c r="C161" s="235"/>
      <c r="D161" s="235"/>
      <c r="E161" s="235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6"/>
      <c r="U161" s="11"/>
      <c r="V161" s="24"/>
      <c r="W161" s="24"/>
      <c r="X161" s="24"/>
    </row>
    <row r="162" spans="1:24" s="140" customFormat="1" ht="20.25" customHeight="1" x14ac:dyDescent="0.2">
      <c r="A162" s="67">
        <v>71</v>
      </c>
      <c r="B162" s="223" t="s">
        <v>118</v>
      </c>
      <c r="C162" s="224"/>
      <c r="D162" s="79">
        <v>50</v>
      </c>
      <c r="E162" s="79">
        <v>7.68</v>
      </c>
      <c r="F162" s="199">
        <f>0.5*D162/60</f>
        <v>0.41666666666666669</v>
      </c>
      <c r="G162" s="199">
        <f>0.03*D162/30</f>
        <v>0.05</v>
      </c>
      <c r="H162" s="199">
        <f>1.7*D162/60</f>
        <v>1.4166666666666667</v>
      </c>
      <c r="I162" s="199">
        <f>F162*4+G162*9+H162*4</f>
        <v>7.7833333333333332</v>
      </c>
      <c r="J162" s="80">
        <v>8.9999999999999993E-3</v>
      </c>
      <c r="K162" s="199">
        <v>0.01</v>
      </c>
      <c r="L162" s="81">
        <v>3</v>
      </c>
      <c r="M162" s="80">
        <v>3.0000000000000001E-3</v>
      </c>
      <c r="N162" s="79">
        <v>0.03</v>
      </c>
      <c r="O162" s="199">
        <v>6.9</v>
      </c>
      <c r="P162" s="199">
        <v>12.6</v>
      </c>
      <c r="Q162" s="80">
        <v>6.4000000000000001E-2</v>
      </c>
      <c r="R162" s="80">
        <v>1E-3</v>
      </c>
      <c r="S162" s="199">
        <v>4.2</v>
      </c>
      <c r="T162" s="199">
        <v>0.18</v>
      </c>
      <c r="U162" s="32"/>
      <c r="V162" s="33"/>
      <c r="W162" s="33"/>
      <c r="X162" s="33"/>
    </row>
    <row r="163" spans="1:24" s="71" customFormat="1" ht="21.75" customHeight="1" x14ac:dyDescent="0.2">
      <c r="A163" s="113">
        <v>106</v>
      </c>
      <c r="B163" s="272" t="s">
        <v>103</v>
      </c>
      <c r="C163" s="273"/>
      <c r="D163" s="68">
        <v>250</v>
      </c>
      <c r="E163" s="68">
        <v>12.61</v>
      </c>
      <c r="F163" s="72">
        <v>8.61</v>
      </c>
      <c r="G163" s="72">
        <v>8.4</v>
      </c>
      <c r="H163" s="72">
        <v>14.34</v>
      </c>
      <c r="I163" s="72">
        <v>167.25</v>
      </c>
      <c r="J163" s="72">
        <v>0.1</v>
      </c>
      <c r="K163" s="72">
        <v>0</v>
      </c>
      <c r="L163" s="72">
        <v>9.11</v>
      </c>
      <c r="M163" s="72">
        <v>15</v>
      </c>
      <c r="N163" s="73">
        <v>0</v>
      </c>
      <c r="O163" s="72">
        <v>45.3</v>
      </c>
      <c r="P163" s="72">
        <v>176.53</v>
      </c>
      <c r="Q163" s="72">
        <v>0</v>
      </c>
      <c r="R163" s="72">
        <v>0</v>
      </c>
      <c r="S163" s="72">
        <v>47.35</v>
      </c>
      <c r="T163" s="72">
        <v>1.26</v>
      </c>
      <c r="U163" s="74"/>
      <c r="V163" s="75"/>
      <c r="W163" s="75"/>
      <c r="X163" s="75"/>
    </row>
    <row r="164" spans="1:24" s="140" customFormat="1" ht="12.75" customHeight="1" x14ac:dyDescent="0.2">
      <c r="A164" s="198">
        <v>293</v>
      </c>
      <c r="B164" s="223" t="s">
        <v>105</v>
      </c>
      <c r="C164" s="224"/>
      <c r="D164" s="147">
        <v>120</v>
      </c>
      <c r="E164" s="148">
        <v>45.87</v>
      </c>
      <c r="F164" s="148">
        <v>33.090000000000003</v>
      </c>
      <c r="G164" s="148">
        <v>27.34</v>
      </c>
      <c r="H164" s="148">
        <v>8.82</v>
      </c>
      <c r="I164" s="148">
        <v>414.37</v>
      </c>
      <c r="J164" s="148">
        <v>0.09</v>
      </c>
      <c r="K164" s="148">
        <v>0</v>
      </c>
      <c r="L164" s="148">
        <v>4.4999999999999998E-2</v>
      </c>
      <c r="M164" s="147">
        <v>80.62</v>
      </c>
      <c r="N164" s="145">
        <v>0</v>
      </c>
      <c r="O164" s="146">
        <v>102.19</v>
      </c>
      <c r="P164" s="148">
        <v>249.19</v>
      </c>
      <c r="Q164" s="147">
        <v>0</v>
      </c>
      <c r="R164" s="147">
        <v>0</v>
      </c>
      <c r="S164" s="148">
        <v>38.07</v>
      </c>
      <c r="T164" s="148">
        <v>3.04</v>
      </c>
      <c r="U164" s="150"/>
      <c r="V164" s="151"/>
      <c r="W164" s="151"/>
      <c r="X164" s="151"/>
    </row>
    <row r="165" spans="1:24" s="140" customFormat="1" ht="12.75" customHeight="1" x14ac:dyDescent="0.2">
      <c r="A165" s="153">
        <v>171</v>
      </c>
      <c r="B165" s="223" t="s">
        <v>24</v>
      </c>
      <c r="C165" s="224"/>
      <c r="D165" s="147">
        <v>180</v>
      </c>
      <c r="E165" s="148">
        <v>13.8</v>
      </c>
      <c r="F165" s="148">
        <f>6.57*D165/150</f>
        <v>7.8840000000000012</v>
      </c>
      <c r="G165" s="148">
        <f>4.19*D165/150</f>
        <v>5.0280000000000005</v>
      </c>
      <c r="H165" s="148">
        <f>32.32*D165/150</f>
        <v>38.783999999999999</v>
      </c>
      <c r="I165" s="148">
        <f>F165*4+G165*9+H165*4</f>
        <v>231.92400000000001</v>
      </c>
      <c r="J165" s="149">
        <f>0.06*D165/150</f>
        <v>7.1999999999999995E-2</v>
      </c>
      <c r="K165" s="149">
        <f>0.03*D165/150</f>
        <v>3.5999999999999997E-2</v>
      </c>
      <c r="L165" s="145">
        <v>0</v>
      </c>
      <c r="M165" s="149">
        <f>0.03*D165/150</f>
        <v>3.5999999999999997E-2</v>
      </c>
      <c r="N165" s="145">
        <f>2.55*D165/150</f>
        <v>3.0599999999999996</v>
      </c>
      <c r="O165" s="148">
        <f>18.12*D165/150</f>
        <v>21.744000000000003</v>
      </c>
      <c r="P165" s="148">
        <f>157.03*D165/150</f>
        <v>188.43600000000001</v>
      </c>
      <c r="Q165" s="149">
        <f>0.8874*D165/150</f>
        <v>1.06488</v>
      </c>
      <c r="R165" s="149">
        <f>0.00135*D165/150</f>
        <v>1.6200000000000001E-3</v>
      </c>
      <c r="S165" s="148">
        <f>104.45*D165/150</f>
        <v>125.34</v>
      </c>
      <c r="T165" s="148">
        <f>3.55*D165/150</f>
        <v>4.26</v>
      </c>
      <c r="U165" s="150"/>
      <c r="V165" s="151"/>
      <c r="W165" s="151"/>
      <c r="X165" s="151"/>
    </row>
    <row r="166" spans="1:24" s="140" customFormat="1" x14ac:dyDescent="0.2">
      <c r="A166" s="133">
        <v>345</v>
      </c>
      <c r="B166" s="266" t="s">
        <v>49</v>
      </c>
      <c r="C166" s="266"/>
      <c r="D166" s="137">
        <v>200</v>
      </c>
      <c r="E166" s="128">
        <v>4.9000000000000004</v>
      </c>
      <c r="F166" s="128">
        <v>0.06</v>
      </c>
      <c r="G166" s="128">
        <v>0.02</v>
      </c>
      <c r="H166" s="128">
        <v>20.73</v>
      </c>
      <c r="I166" s="128">
        <v>83.34</v>
      </c>
      <c r="J166" s="128">
        <v>0</v>
      </c>
      <c r="K166" s="128">
        <v>0</v>
      </c>
      <c r="L166" s="128">
        <v>2.5</v>
      </c>
      <c r="M166" s="128">
        <v>4.0000000000000001E-3</v>
      </c>
      <c r="N166" s="128">
        <v>0.2</v>
      </c>
      <c r="O166" s="128">
        <v>4</v>
      </c>
      <c r="P166" s="128">
        <v>3.3</v>
      </c>
      <c r="Q166" s="128">
        <v>0.08</v>
      </c>
      <c r="R166" s="128">
        <v>1E-3</v>
      </c>
      <c r="S166" s="128">
        <v>1.7</v>
      </c>
      <c r="T166" s="128">
        <v>0.15</v>
      </c>
      <c r="U166" s="150"/>
      <c r="V166" s="151"/>
      <c r="W166" s="151"/>
      <c r="X166" s="151"/>
    </row>
    <row r="167" spans="1:24" s="3" customFormat="1" ht="11.25" customHeight="1" x14ac:dyDescent="0.2">
      <c r="A167" s="78" t="s">
        <v>66</v>
      </c>
      <c r="B167" s="223" t="s">
        <v>46</v>
      </c>
      <c r="C167" s="224"/>
      <c r="D167" s="70">
        <v>40</v>
      </c>
      <c r="E167" s="148">
        <v>2.04</v>
      </c>
      <c r="F167" s="72">
        <f>2.64*D167/40</f>
        <v>2.64</v>
      </c>
      <c r="G167" s="72">
        <f>0.48*D167/40</f>
        <v>0.48</v>
      </c>
      <c r="H167" s="72">
        <f>13.68*D167/40</f>
        <v>13.680000000000001</v>
      </c>
      <c r="I167" s="69">
        <f>F167*4+G167*9+H167*4</f>
        <v>69.600000000000009</v>
      </c>
      <c r="J167" s="68">
        <f>0.08*D167/40</f>
        <v>0.08</v>
      </c>
      <c r="K167" s="72">
        <f>0.04*D167/40</f>
        <v>0.04</v>
      </c>
      <c r="L167" s="70">
        <v>0</v>
      </c>
      <c r="M167" s="70">
        <v>0</v>
      </c>
      <c r="N167" s="72">
        <f>2.4*D167/40</f>
        <v>2.4</v>
      </c>
      <c r="O167" s="72">
        <f>14*D167/40</f>
        <v>14</v>
      </c>
      <c r="P167" s="72">
        <f>63.2*D167/40</f>
        <v>63.2</v>
      </c>
      <c r="Q167" s="72">
        <f>1.2*D167/40</f>
        <v>1.2</v>
      </c>
      <c r="R167" s="73">
        <f>0.001*D167/40</f>
        <v>1E-3</v>
      </c>
      <c r="S167" s="72">
        <f>9.4*D167/40</f>
        <v>9.4</v>
      </c>
      <c r="T167" s="68">
        <f>0.78*D167/40</f>
        <v>0.78</v>
      </c>
      <c r="U167" s="30"/>
      <c r="V167" s="31"/>
      <c r="W167" s="31"/>
      <c r="X167" s="31"/>
    </row>
    <row r="168" spans="1:24" s="3" customFormat="1" ht="11.25" customHeight="1" x14ac:dyDescent="0.2">
      <c r="A168" s="77" t="s">
        <v>66</v>
      </c>
      <c r="B168" s="223" t="s">
        <v>53</v>
      </c>
      <c r="C168" s="224"/>
      <c r="D168" s="70">
        <v>40</v>
      </c>
      <c r="E168" s="148">
        <v>3.1</v>
      </c>
      <c r="F168" s="72">
        <f>1.52*D168/30</f>
        <v>2.0266666666666664</v>
      </c>
      <c r="G168" s="73">
        <f>0.16*D168/30</f>
        <v>0.21333333333333335</v>
      </c>
      <c r="H168" s="73">
        <f>9.84*D168/30</f>
        <v>13.120000000000001</v>
      </c>
      <c r="I168" s="73">
        <f>F168*4+G168*9+H168*4</f>
        <v>62.506666666666668</v>
      </c>
      <c r="J168" s="73">
        <f>0.02*D168/30</f>
        <v>2.6666666666666668E-2</v>
      </c>
      <c r="K168" s="73">
        <f>0.01*D168/30</f>
        <v>1.3333333333333334E-2</v>
      </c>
      <c r="L168" s="73">
        <f>0.44*D168/30</f>
        <v>0.58666666666666667</v>
      </c>
      <c r="M168" s="73">
        <v>0</v>
      </c>
      <c r="N168" s="73">
        <f>0.7*D168/30</f>
        <v>0.93333333333333335</v>
      </c>
      <c r="O168" s="73">
        <f>4*D168/30</f>
        <v>5.333333333333333</v>
      </c>
      <c r="P168" s="73">
        <f>13*D168/30</f>
        <v>17.333333333333332</v>
      </c>
      <c r="Q168" s="73">
        <f>0.008*D168/30</f>
        <v>1.0666666666666666E-2</v>
      </c>
      <c r="R168" s="73">
        <f>0.001*D168/30</f>
        <v>1.3333333333333333E-3</v>
      </c>
      <c r="S168" s="73">
        <v>0</v>
      </c>
      <c r="T168" s="73">
        <f>0.22*D168/30</f>
        <v>0.29333333333333333</v>
      </c>
      <c r="U168" s="74"/>
      <c r="V168" s="75"/>
      <c r="W168" s="75"/>
      <c r="X168" s="75"/>
    </row>
    <row r="169" spans="1:24" s="3" customFormat="1" ht="11.25" customHeight="1" x14ac:dyDescent="0.2">
      <c r="A169" s="61" t="s">
        <v>29</v>
      </c>
      <c r="B169" s="62"/>
      <c r="C169" s="62"/>
      <c r="D169" s="65">
        <f t="shared" ref="D169:I169" si="43">SUM(D162:D168)</f>
        <v>880</v>
      </c>
      <c r="E169" s="154">
        <f t="shared" si="43"/>
        <v>90</v>
      </c>
      <c r="F169" s="39">
        <f t="shared" si="43"/>
        <v>54.727333333333334</v>
      </c>
      <c r="G169" s="38">
        <f t="shared" si="43"/>
        <v>41.531333333333329</v>
      </c>
      <c r="H169" s="38">
        <f t="shared" si="43"/>
        <v>110.89066666666668</v>
      </c>
      <c r="I169" s="38">
        <f t="shared" si="43"/>
        <v>1036.7740000000001</v>
      </c>
      <c r="J169" s="39">
        <f t="shared" ref="J169:T169" si="44">SUM(J162:J168)</f>
        <v>0.37766666666666671</v>
      </c>
      <c r="K169" s="39">
        <f t="shared" si="44"/>
        <v>9.9333333333333329E-2</v>
      </c>
      <c r="L169" s="38">
        <f t="shared" si="44"/>
        <v>15.241666666666665</v>
      </c>
      <c r="M169" s="39">
        <f t="shared" si="44"/>
        <v>95.663000000000011</v>
      </c>
      <c r="N169" s="40">
        <f t="shared" si="44"/>
        <v>6.6233333333333331</v>
      </c>
      <c r="O169" s="39">
        <f t="shared" si="44"/>
        <v>199.46733333333333</v>
      </c>
      <c r="P169" s="38">
        <f t="shared" si="44"/>
        <v>710.58933333333334</v>
      </c>
      <c r="Q169" s="38">
        <f t="shared" si="44"/>
        <v>2.4195466666666667</v>
      </c>
      <c r="R169" s="39">
        <f t="shared" si="44"/>
        <v>5.953333333333333E-3</v>
      </c>
      <c r="S169" s="38">
        <f t="shared" si="44"/>
        <v>226.06</v>
      </c>
      <c r="T169" s="39">
        <f t="shared" si="44"/>
        <v>9.9633333333333329</v>
      </c>
      <c r="U169" s="38"/>
      <c r="V169" s="41"/>
      <c r="W169" s="41"/>
      <c r="X169" s="41"/>
    </row>
    <row r="170" spans="1:24" s="3" customFormat="1" ht="11.25" customHeight="1" x14ac:dyDescent="0.2">
      <c r="A170" s="231" t="s">
        <v>62</v>
      </c>
      <c r="B170" s="232"/>
      <c r="C170" s="232"/>
      <c r="D170" s="233"/>
      <c r="E170" s="115"/>
      <c r="F170" s="106">
        <f>F169/F178</f>
        <v>0.60808148148148145</v>
      </c>
      <c r="G170" s="76">
        <f t="shared" ref="G170:T170" si="45">G169/G178</f>
        <v>0.45142753623188403</v>
      </c>
      <c r="H170" s="76">
        <f t="shared" si="45"/>
        <v>0.2895317667536989</v>
      </c>
      <c r="I170" s="76">
        <f t="shared" si="45"/>
        <v>0.38116691176470591</v>
      </c>
      <c r="J170" s="76">
        <f t="shared" si="45"/>
        <v>0.26976190476190481</v>
      </c>
      <c r="K170" s="76">
        <f t="shared" si="45"/>
        <v>6.2083333333333331E-2</v>
      </c>
      <c r="L170" s="76">
        <f t="shared" si="45"/>
        <v>0.21773809523809523</v>
      </c>
      <c r="M170" s="76">
        <f t="shared" si="45"/>
        <v>106.29222222222224</v>
      </c>
      <c r="N170" s="76">
        <f t="shared" si="45"/>
        <v>0.55194444444444446</v>
      </c>
      <c r="O170" s="76">
        <f t="shared" si="45"/>
        <v>0.16622277777777777</v>
      </c>
      <c r="P170" s="76">
        <f t="shared" si="45"/>
        <v>0.59215777777777778</v>
      </c>
      <c r="Q170" s="76">
        <f t="shared" si="45"/>
        <v>0.1728247619047619</v>
      </c>
      <c r="R170" s="76">
        <f t="shared" si="45"/>
        <v>5.9533333333333327E-2</v>
      </c>
      <c r="S170" s="76">
        <f t="shared" si="45"/>
        <v>0.75353333333333339</v>
      </c>
      <c r="T170" s="44">
        <f t="shared" si="45"/>
        <v>0.55351851851851852</v>
      </c>
      <c r="U170" s="48"/>
      <c r="V170" s="41"/>
      <c r="W170" s="41"/>
      <c r="X170" s="41"/>
    </row>
    <row r="171" spans="1:24" s="140" customFormat="1" ht="11.25" hidden="1" customHeight="1" x14ac:dyDescent="0.2">
      <c r="A171" s="158"/>
      <c r="B171" s="159"/>
      <c r="C171" s="159"/>
      <c r="D171" s="159"/>
      <c r="E171" s="171">
        <f>90-E169</f>
        <v>0</v>
      </c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69"/>
      <c r="U171" s="144"/>
      <c r="V171" s="142"/>
      <c r="W171" s="142"/>
      <c r="X171" s="142"/>
    </row>
    <row r="172" spans="1:24" s="3" customFormat="1" ht="11.25" customHeight="1" x14ac:dyDescent="0.2">
      <c r="A172" s="234" t="s">
        <v>30</v>
      </c>
      <c r="B172" s="235"/>
      <c r="C172" s="235"/>
      <c r="D172" s="235"/>
      <c r="E172" s="235"/>
      <c r="F172" s="235"/>
      <c r="G172" s="235"/>
      <c r="H172" s="235"/>
      <c r="I172" s="235"/>
      <c r="J172" s="235"/>
      <c r="K172" s="235"/>
      <c r="L172" s="235"/>
      <c r="M172" s="235"/>
      <c r="N172" s="235"/>
      <c r="O172" s="235"/>
      <c r="P172" s="235"/>
      <c r="Q172" s="235"/>
      <c r="R172" s="235"/>
      <c r="S172" s="235"/>
      <c r="T172" s="236"/>
      <c r="U172" s="11"/>
      <c r="V172" s="24"/>
      <c r="W172" s="24"/>
      <c r="X172" s="24"/>
    </row>
    <row r="173" spans="1:24" s="129" customFormat="1" ht="12" customHeight="1" x14ac:dyDescent="0.2">
      <c r="A173" s="135"/>
      <c r="B173" s="253"/>
      <c r="C173" s="253"/>
      <c r="D173" s="131"/>
      <c r="E173" s="130"/>
      <c r="F173" s="130"/>
      <c r="G173" s="203"/>
      <c r="H173" s="203"/>
      <c r="I173" s="130"/>
      <c r="J173" s="130"/>
      <c r="K173" s="130"/>
      <c r="L173" s="130"/>
      <c r="M173" s="202"/>
      <c r="N173" s="203"/>
      <c r="O173" s="130"/>
      <c r="P173" s="130"/>
      <c r="Q173" s="130"/>
      <c r="R173" s="201"/>
      <c r="S173" s="130"/>
      <c r="T173" s="130"/>
    </row>
    <row r="174" spans="1:24" s="129" customFormat="1" ht="12" customHeight="1" x14ac:dyDescent="0.2">
      <c r="A174" s="205"/>
      <c r="B174" s="225"/>
      <c r="C174" s="225"/>
      <c r="D174" s="206"/>
      <c r="E174" s="136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</row>
    <row r="175" spans="1:24" s="1" customFormat="1" ht="11.25" customHeight="1" x14ac:dyDescent="0.2">
      <c r="A175" s="61" t="s">
        <v>31</v>
      </c>
      <c r="B175" s="62"/>
      <c r="C175" s="62"/>
      <c r="D175" s="65">
        <f t="shared" ref="D175:I175" si="46">SUM(D173:D174)</f>
        <v>0</v>
      </c>
      <c r="E175" s="154">
        <f t="shared" si="46"/>
        <v>0</v>
      </c>
      <c r="F175" s="39">
        <f t="shared" si="46"/>
        <v>0</v>
      </c>
      <c r="G175" s="38">
        <f t="shared" si="46"/>
        <v>0</v>
      </c>
      <c r="H175" s="38">
        <f t="shared" si="46"/>
        <v>0</v>
      </c>
      <c r="I175" s="38">
        <f t="shared" si="46"/>
        <v>0</v>
      </c>
      <c r="J175" s="39">
        <f t="shared" ref="J175:T175" si="47">SUM(J173:J174)</f>
        <v>0</v>
      </c>
      <c r="K175" s="39">
        <f t="shared" si="47"/>
        <v>0</v>
      </c>
      <c r="L175" s="39">
        <f t="shared" si="47"/>
        <v>0</v>
      </c>
      <c r="M175" s="39">
        <f t="shared" si="47"/>
        <v>0</v>
      </c>
      <c r="N175" s="40">
        <f t="shared" si="47"/>
        <v>0</v>
      </c>
      <c r="O175" s="39">
        <f t="shared" si="47"/>
        <v>0</v>
      </c>
      <c r="P175" s="39">
        <f t="shared" si="47"/>
        <v>0</v>
      </c>
      <c r="Q175" s="39">
        <f t="shared" si="47"/>
        <v>0</v>
      </c>
      <c r="R175" s="39">
        <f t="shared" si="47"/>
        <v>0</v>
      </c>
      <c r="S175" s="39">
        <f t="shared" si="47"/>
        <v>0</v>
      </c>
      <c r="T175" s="39">
        <f t="shared" si="47"/>
        <v>0</v>
      </c>
      <c r="U175" s="38"/>
      <c r="V175" s="41"/>
      <c r="W175" s="41"/>
      <c r="X175" s="41"/>
    </row>
    <row r="176" spans="1:24" s="1" customFormat="1" ht="11.25" customHeight="1" x14ac:dyDescent="0.2">
      <c r="A176" s="231" t="s">
        <v>62</v>
      </c>
      <c r="B176" s="232"/>
      <c r="C176" s="232"/>
      <c r="D176" s="233"/>
      <c r="E176" s="116"/>
      <c r="F176" s="39">
        <f>F175/F178</f>
        <v>0</v>
      </c>
      <c r="G176" s="44">
        <f t="shared" ref="G176:T176" si="48">G175/G178</f>
        <v>0</v>
      </c>
      <c r="H176" s="44">
        <f t="shared" si="48"/>
        <v>0</v>
      </c>
      <c r="I176" s="44">
        <f t="shared" si="48"/>
        <v>0</v>
      </c>
      <c r="J176" s="44">
        <f t="shared" si="48"/>
        <v>0</v>
      </c>
      <c r="K176" s="44">
        <f t="shared" si="48"/>
        <v>0</v>
      </c>
      <c r="L176" s="44">
        <f t="shared" si="48"/>
        <v>0</v>
      </c>
      <c r="M176" s="44">
        <f t="shared" si="48"/>
        <v>0</v>
      </c>
      <c r="N176" s="44">
        <f t="shared" si="48"/>
        <v>0</v>
      </c>
      <c r="O176" s="44">
        <f t="shared" si="48"/>
        <v>0</v>
      </c>
      <c r="P176" s="44">
        <f t="shared" si="48"/>
        <v>0</v>
      </c>
      <c r="Q176" s="44">
        <f t="shared" si="48"/>
        <v>0</v>
      </c>
      <c r="R176" s="44">
        <f t="shared" si="48"/>
        <v>0</v>
      </c>
      <c r="S176" s="44">
        <f t="shared" si="48"/>
        <v>0</v>
      </c>
      <c r="T176" s="44">
        <f t="shared" si="48"/>
        <v>0</v>
      </c>
      <c r="U176" s="48"/>
      <c r="V176" s="41"/>
      <c r="W176" s="41"/>
      <c r="X176" s="41"/>
    </row>
    <row r="177" spans="1:24" s="1" customFormat="1" ht="11.25" customHeight="1" x14ac:dyDescent="0.2">
      <c r="A177" s="261" t="s">
        <v>61</v>
      </c>
      <c r="B177" s="262"/>
      <c r="C177" s="262"/>
      <c r="D177" s="263"/>
      <c r="E177" s="120"/>
      <c r="F177" s="39">
        <f t="shared" ref="F177:T177" si="49">SUM(F158,F169,F175)</f>
        <v>81.171500000000009</v>
      </c>
      <c r="G177" s="38">
        <f t="shared" si="49"/>
        <v>63.607166666666657</v>
      </c>
      <c r="H177" s="38">
        <f t="shared" si="49"/>
        <v>168.82066666666668</v>
      </c>
      <c r="I177" s="38">
        <f t="shared" si="49"/>
        <v>1572.9531666666667</v>
      </c>
      <c r="J177" s="39">
        <f t="shared" si="49"/>
        <v>0.78008333333333335</v>
      </c>
      <c r="K177" s="39">
        <f t="shared" si="49"/>
        <v>0.46516666666666667</v>
      </c>
      <c r="L177" s="38">
        <f t="shared" si="49"/>
        <v>29.111333333333331</v>
      </c>
      <c r="M177" s="39">
        <f t="shared" si="49"/>
        <v>95.759000000000015</v>
      </c>
      <c r="N177" s="39">
        <f t="shared" si="49"/>
        <v>12.101666666666667</v>
      </c>
      <c r="O177" s="38">
        <f t="shared" si="49"/>
        <v>537.88566666666657</v>
      </c>
      <c r="P177" s="38">
        <f t="shared" si="49"/>
        <v>1133.7776666666666</v>
      </c>
      <c r="Q177" s="39">
        <f t="shared" si="49"/>
        <v>5.2497133333333332</v>
      </c>
      <c r="R177" s="40">
        <f t="shared" si="49"/>
        <v>7.3316666666666683E-2</v>
      </c>
      <c r="S177" s="39">
        <f t="shared" si="49"/>
        <v>295.5625</v>
      </c>
      <c r="T177" s="39">
        <f t="shared" si="49"/>
        <v>14.725166666666667</v>
      </c>
      <c r="U177" s="42"/>
      <c r="V177" s="41"/>
      <c r="W177" s="41"/>
      <c r="X177" s="41"/>
    </row>
    <row r="178" spans="1:24" s="1" customFormat="1" ht="11.25" customHeight="1" x14ac:dyDescent="0.2">
      <c r="A178" s="261" t="s">
        <v>63</v>
      </c>
      <c r="B178" s="262"/>
      <c r="C178" s="262"/>
      <c r="D178" s="263"/>
      <c r="E178" s="120"/>
      <c r="F178" s="72">
        <v>90</v>
      </c>
      <c r="G178" s="69">
        <v>92</v>
      </c>
      <c r="H178" s="69">
        <v>383</v>
      </c>
      <c r="I178" s="69">
        <v>2720</v>
      </c>
      <c r="J178" s="72">
        <v>1.4</v>
      </c>
      <c r="K178" s="72">
        <v>1.6</v>
      </c>
      <c r="L178" s="70">
        <v>70</v>
      </c>
      <c r="M178" s="72">
        <v>0.9</v>
      </c>
      <c r="N178" s="70">
        <v>12</v>
      </c>
      <c r="O178" s="70">
        <v>1200</v>
      </c>
      <c r="P178" s="70">
        <v>1200</v>
      </c>
      <c r="Q178" s="70">
        <v>14</v>
      </c>
      <c r="R178" s="69">
        <v>0.1</v>
      </c>
      <c r="S178" s="70">
        <v>300</v>
      </c>
      <c r="T178" s="72">
        <v>18</v>
      </c>
      <c r="U178" s="74"/>
      <c r="V178" s="75"/>
      <c r="W178" s="75"/>
      <c r="X178" s="75"/>
    </row>
    <row r="179" spans="1:24" s="1" customFormat="1" ht="11.25" customHeight="1" x14ac:dyDescent="0.2">
      <c r="A179" s="231" t="s">
        <v>62</v>
      </c>
      <c r="B179" s="232"/>
      <c r="C179" s="232"/>
      <c r="D179" s="233"/>
      <c r="E179" s="116"/>
      <c r="F179" s="76">
        <f t="shared" ref="F179:T179" si="50">F177/F178</f>
        <v>0.90190555555555563</v>
      </c>
      <c r="G179" s="44">
        <f t="shared" si="50"/>
        <v>0.69138224637681145</v>
      </c>
      <c r="H179" s="44">
        <f t="shared" si="50"/>
        <v>0.44078503046127071</v>
      </c>
      <c r="I179" s="44">
        <f t="shared" si="50"/>
        <v>0.57829160539215685</v>
      </c>
      <c r="J179" s="44">
        <f t="shared" si="50"/>
        <v>0.55720238095238095</v>
      </c>
      <c r="K179" s="44">
        <f t="shared" si="50"/>
        <v>0.29072916666666665</v>
      </c>
      <c r="L179" s="44">
        <f t="shared" si="50"/>
        <v>0.41587619047619045</v>
      </c>
      <c r="M179" s="45">
        <f t="shared" si="50"/>
        <v>106.39888888888891</v>
      </c>
      <c r="N179" s="44">
        <f t="shared" si="50"/>
        <v>1.0084722222222222</v>
      </c>
      <c r="O179" s="44">
        <f t="shared" si="50"/>
        <v>0.44823805555555546</v>
      </c>
      <c r="P179" s="44">
        <f t="shared" si="50"/>
        <v>0.94481472222222218</v>
      </c>
      <c r="Q179" s="44">
        <f t="shared" si="50"/>
        <v>0.37497952380952382</v>
      </c>
      <c r="R179" s="45">
        <f t="shared" si="50"/>
        <v>0.73316666666666674</v>
      </c>
      <c r="S179" s="44">
        <f t="shared" si="50"/>
        <v>0.98520833333333335</v>
      </c>
      <c r="T179" s="45">
        <f t="shared" si="50"/>
        <v>0.81806481481481486</v>
      </c>
      <c r="U179" s="46"/>
      <c r="V179" s="47"/>
      <c r="W179" s="47"/>
      <c r="X179" s="47"/>
    </row>
    <row r="180" spans="1:24" s="1" customFormat="1" ht="11.25" customHeight="1" x14ac:dyDescent="0.2">
      <c r="A180" s="57"/>
      <c r="B180" s="54"/>
      <c r="C180" s="54"/>
      <c r="D180" s="71"/>
      <c r="E180" s="71"/>
      <c r="F180" s="34"/>
      <c r="G180" s="71"/>
      <c r="H180" s="71"/>
      <c r="I180" s="71"/>
      <c r="J180" s="71"/>
      <c r="K180" s="71"/>
      <c r="L180" s="71"/>
      <c r="M180" s="265" t="s">
        <v>65</v>
      </c>
      <c r="N180" s="265"/>
      <c r="O180" s="265"/>
      <c r="P180" s="265"/>
      <c r="Q180" s="265"/>
      <c r="R180" s="265"/>
      <c r="S180" s="265"/>
      <c r="T180" s="265"/>
      <c r="U180" s="12"/>
      <c r="V180" s="19"/>
      <c r="W180" s="19"/>
      <c r="X180" s="19"/>
    </row>
    <row r="181" spans="1:24" s="3" customFormat="1" ht="11.25" customHeight="1" x14ac:dyDescent="0.2">
      <c r="A181" s="264" t="s">
        <v>40</v>
      </c>
      <c r="B181" s="264"/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4"/>
      <c r="P181" s="264"/>
      <c r="Q181" s="264"/>
      <c r="R181" s="264"/>
      <c r="S181" s="264"/>
      <c r="T181" s="264"/>
      <c r="U181" s="13"/>
      <c r="V181" s="25"/>
      <c r="W181" s="25"/>
      <c r="X181" s="25"/>
    </row>
    <row r="182" spans="1:24" s="3" customFormat="1" ht="11.25" customHeight="1" x14ac:dyDescent="0.2">
      <c r="A182" s="58" t="s">
        <v>55</v>
      </c>
      <c r="B182" s="54"/>
      <c r="C182" s="54"/>
      <c r="D182" s="2"/>
      <c r="E182" s="2"/>
      <c r="F182" s="34"/>
      <c r="G182" s="240" t="s">
        <v>1</v>
      </c>
      <c r="H182" s="240"/>
      <c r="I182" s="240"/>
      <c r="J182" s="71"/>
      <c r="K182" s="71"/>
      <c r="L182" s="247" t="s">
        <v>2</v>
      </c>
      <c r="M182" s="247"/>
      <c r="N182" s="259"/>
      <c r="O182" s="259"/>
      <c r="P182" s="259"/>
      <c r="Q182" s="259"/>
      <c r="R182" s="71"/>
      <c r="S182" s="71"/>
      <c r="T182" s="71"/>
      <c r="U182" s="14"/>
      <c r="V182" s="20"/>
      <c r="W182" s="20"/>
      <c r="X182" s="20"/>
    </row>
    <row r="183" spans="1:24" s="3" customFormat="1" ht="11.25" customHeight="1" x14ac:dyDescent="0.2">
      <c r="A183" s="54"/>
      <c r="B183" s="54"/>
      <c r="C183" s="54"/>
      <c r="D183" s="260" t="s">
        <v>3</v>
      </c>
      <c r="E183" s="260"/>
      <c r="F183" s="260"/>
      <c r="G183" s="7">
        <v>2</v>
      </c>
      <c r="H183" s="71"/>
      <c r="I183" s="2"/>
      <c r="J183" s="2"/>
      <c r="K183" s="2"/>
      <c r="L183" s="260" t="s">
        <v>4</v>
      </c>
      <c r="M183" s="260"/>
      <c r="N183" s="240" t="s">
        <v>121</v>
      </c>
      <c r="O183" s="240"/>
      <c r="P183" s="240"/>
      <c r="Q183" s="240"/>
      <c r="R183" s="240"/>
      <c r="S183" s="240"/>
      <c r="T183" s="240"/>
      <c r="U183" s="15"/>
      <c r="V183" s="21"/>
      <c r="W183" s="21"/>
      <c r="X183" s="21"/>
    </row>
    <row r="184" spans="1:24" s="1" customFormat="1" ht="21.75" customHeight="1" x14ac:dyDescent="0.2">
      <c r="A184" s="241" t="s">
        <v>5</v>
      </c>
      <c r="B184" s="243" t="s">
        <v>6</v>
      </c>
      <c r="C184" s="244"/>
      <c r="D184" s="241" t="s">
        <v>7</v>
      </c>
      <c r="E184" s="183"/>
      <c r="F184" s="248" t="s">
        <v>8</v>
      </c>
      <c r="G184" s="249"/>
      <c r="H184" s="250"/>
      <c r="I184" s="241" t="s">
        <v>9</v>
      </c>
      <c r="J184" s="248" t="s">
        <v>10</v>
      </c>
      <c r="K184" s="249"/>
      <c r="L184" s="249"/>
      <c r="M184" s="249"/>
      <c r="N184" s="250"/>
      <c r="O184" s="248" t="s">
        <v>11</v>
      </c>
      <c r="P184" s="249"/>
      <c r="Q184" s="249"/>
      <c r="R184" s="249"/>
      <c r="S184" s="249"/>
      <c r="T184" s="250"/>
      <c r="U184" s="9"/>
      <c r="V184" s="22"/>
      <c r="W184" s="22"/>
      <c r="X184" s="22"/>
    </row>
    <row r="185" spans="1:24" s="1" customFormat="1" ht="21" customHeight="1" x14ac:dyDescent="0.2">
      <c r="A185" s="242"/>
      <c r="B185" s="245"/>
      <c r="C185" s="246"/>
      <c r="D185" s="242"/>
      <c r="E185" s="176"/>
      <c r="F185" s="100" t="s">
        <v>12</v>
      </c>
      <c r="G185" s="177" t="s">
        <v>13</v>
      </c>
      <c r="H185" s="177" t="s">
        <v>14</v>
      </c>
      <c r="I185" s="242"/>
      <c r="J185" s="177" t="s">
        <v>15</v>
      </c>
      <c r="K185" s="177" t="s">
        <v>57</v>
      </c>
      <c r="L185" s="177" t="s">
        <v>16</v>
      </c>
      <c r="M185" s="177" t="s">
        <v>17</v>
      </c>
      <c r="N185" s="177" t="s">
        <v>18</v>
      </c>
      <c r="O185" s="177" t="s">
        <v>19</v>
      </c>
      <c r="P185" s="177" t="s">
        <v>20</v>
      </c>
      <c r="Q185" s="177" t="s">
        <v>58</v>
      </c>
      <c r="R185" s="177" t="s">
        <v>60</v>
      </c>
      <c r="S185" s="177" t="s">
        <v>21</v>
      </c>
      <c r="T185" s="177" t="s">
        <v>22</v>
      </c>
      <c r="U185" s="9"/>
      <c r="V185" s="22"/>
      <c r="W185" s="22"/>
      <c r="X185" s="22"/>
    </row>
    <row r="186" spans="1:24" s="1" customFormat="1" ht="11.25" customHeight="1" x14ac:dyDescent="0.2">
      <c r="A186" s="182">
        <v>1</v>
      </c>
      <c r="B186" s="256">
        <v>2</v>
      </c>
      <c r="C186" s="257"/>
      <c r="D186" s="37">
        <v>3</v>
      </c>
      <c r="E186" s="37"/>
      <c r="F186" s="101">
        <v>4</v>
      </c>
      <c r="G186" s="37">
        <v>5</v>
      </c>
      <c r="H186" s="37">
        <v>6</v>
      </c>
      <c r="I186" s="37">
        <v>7</v>
      </c>
      <c r="J186" s="37">
        <v>8</v>
      </c>
      <c r="K186" s="37">
        <v>9</v>
      </c>
      <c r="L186" s="37">
        <v>10</v>
      </c>
      <c r="M186" s="37">
        <v>11</v>
      </c>
      <c r="N186" s="37">
        <v>12</v>
      </c>
      <c r="O186" s="37">
        <v>13</v>
      </c>
      <c r="P186" s="37">
        <v>14</v>
      </c>
      <c r="Q186" s="37">
        <v>15</v>
      </c>
      <c r="R186" s="37">
        <v>16</v>
      </c>
      <c r="S186" s="37">
        <v>17</v>
      </c>
      <c r="T186" s="37">
        <v>18</v>
      </c>
      <c r="U186" s="10"/>
      <c r="V186" s="23"/>
      <c r="W186" s="23"/>
      <c r="X186" s="23"/>
    </row>
    <row r="187" spans="1:24" s="1" customFormat="1" ht="11.25" customHeight="1" x14ac:dyDescent="0.2">
      <c r="A187" s="234" t="s">
        <v>23</v>
      </c>
      <c r="B187" s="235"/>
      <c r="C187" s="235"/>
      <c r="D187" s="235"/>
      <c r="E187" s="235"/>
      <c r="F187" s="235"/>
      <c r="G187" s="235"/>
      <c r="H187" s="235"/>
      <c r="I187" s="235"/>
      <c r="J187" s="235"/>
      <c r="K187" s="235"/>
      <c r="L187" s="235"/>
      <c r="M187" s="235"/>
      <c r="N187" s="235"/>
      <c r="O187" s="235"/>
      <c r="P187" s="235"/>
      <c r="Q187" s="235"/>
      <c r="R187" s="235"/>
      <c r="S187" s="235"/>
      <c r="T187" s="236"/>
      <c r="U187" s="11"/>
      <c r="V187" s="24"/>
      <c r="W187" s="24"/>
      <c r="X187" s="24"/>
    </row>
    <row r="188" spans="1:24" s="140" customFormat="1" ht="23.25" customHeight="1" x14ac:dyDescent="0.2">
      <c r="A188" s="67">
        <v>71</v>
      </c>
      <c r="B188" s="223" t="s">
        <v>64</v>
      </c>
      <c r="C188" s="224"/>
      <c r="D188" s="79">
        <v>40</v>
      </c>
      <c r="E188" s="178">
        <v>9.41</v>
      </c>
      <c r="F188" s="178">
        <f>0.5*D188/60</f>
        <v>0.33333333333333331</v>
      </c>
      <c r="G188" s="178">
        <f>0.03*D188/30</f>
        <v>0.04</v>
      </c>
      <c r="H188" s="178">
        <f>1.7*D188/60</f>
        <v>1.1333333333333333</v>
      </c>
      <c r="I188" s="178">
        <f>F188*4+G188*9+H188*4</f>
        <v>6.2266666666666666</v>
      </c>
      <c r="J188" s="80">
        <v>8.9999999999999993E-3</v>
      </c>
      <c r="K188" s="178">
        <v>0.01</v>
      </c>
      <c r="L188" s="81">
        <v>3</v>
      </c>
      <c r="M188" s="80">
        <v>3.0000000000000001E-3</v>
      </c>
      <c r="N188" s="79">
        <v>0.03</v>
      </c>
      <c r="O188" s="178">
        <v>6.9</v>
      </c>
      <c r="P188" s="178">
        <v>12.6</v>
      </c>
      <c r="Q188" s="80">
        <v>6.4000000000000001E-2</v>
      </c>
      <c r="R188" s="80">
        <v>1E-3</v>
      </c>
      <c r="S188" s="178">
        <v>4.2</v>
      </c>
      <c r="T188" s="178">
        <v>0.18</v>
      </c>
      <c r="U188" s="150"/>
      <c r="V188" s="151"/>
      <c r="W188" s="151"/>
      <c r="X188" s="151"/>
    </row>
    <row r="189" spans="1:24" s="140" customFormat="1" ht="22.5" customHeight="1" x14ac:dyDescent="0.2">
      <c r="A189" s="133">
        <v>591</v>
      </c>
      <c r="B189" s="278" t="s">
        <v>108</v>
      </c>
      <c r="C189" s="279"/>
      <c r="D189" s="134">
        <v>120</v>
      </c>
      <c r="E189" s="128">
        <v>45.68</v>
      </c>
      <c r="F189" s="128">
        <v>5.86</v>
      </c>
      <c r="G189" s="128">
        <v>16.309999999999999</v>
      </c>
      <c r="H189" s="128">
        <v>3.07</v>
      </c>
      <c r="I189" s="128">
        <v>182.51</v>
      </c>
      <c r="J189" s="128">
        <v>0.14000000000000001</v>
      </c>
      <c r="K189" s="128">
        <v>0.05</v>
      </c>
      <c r="L189" s="128">
        <v>0.09</v>
      </c>
      <c r="M189" s="128">
        <v>0</v>
      </c>
      <c r="N189" s="128">
        <v>0</v>
      </c>
      <c r="O189" s="128">
        <v>9.5399999999999991</v>
      </c>
      <c r="P189" s="128">
        <v>63.38</v>
      </c>
      <c r="Q189" s="128">
        <v>1.1200000000000001</v>
      </c>
      <c r="R189" s="128">
        <v>2.5499999999999998</v>
      </c>
      <c r="S189" s="128">
        <v>11.3</v>
      </c>
      <c r="T189" s="128">
        <v>0.75</v>
      </c>
      <c r="U189" s="150"/>
      <c r="V189" s="151"/>
      <c r="W189" s="151"/>
      <c r="X189" s="151"/>
    </row>
    <row r="190" spans="1:24" s="140" customFormat="1" ht="19.5" customHeight="1" x14ac:dyDescent="0.2">
      <c r="A190" s="182">
        <v>304</v>
      </c>
      <c r="B190" s="258" t="s">
        <v>101</v>
      </c>
      <c r="C190" s="258"/>
      <c r="D190" s="147">
        <v>180</v>
      </c>
      <c r="E190" s="148">
        <v>8.1999999999999993</v>
      </c>
      <c r="F190" s="148">
        <v>4.4400000000000004</v>
      </c>
      <c r="G190" s="148">
        <v>6.44</v>
      </c>
      <c r="H190" s="148">
        <v>44.01</v>
      </c>
      <c r="I190" s="148">
        <v>251.82</v>
      </c>
      <c r="J190" s="148">
        <v>3.5999999999999997E-2</v>
      </c>
      <c r="K190" s="145">
        <v>2.4E-2</v>
      </c>
      <c r="L190" s="148">
        <v>0</v>
      </c>
      <c r="M190" s="145">
        <v>4.8000000000000001E-2</v>
      </c>
      <c r="N190" s="146">
        <v>0</v>
      </c>
      <c r="O190" s="146">
        <v>17.93</v>
      </c>
      <c r="P190" s="147">
        <v>95.25</v>
      </c>
      <c r="Q190" s="152">
        <v>0</v>
      </c>
      <c r="R190" s="146">
        <v>1E-3</v>
      </c>
      <c r="S190" s="148">
        <v>33.47</v>
      </c>
      <c r="T190" s="150">
        <v>0.70799999999999996</v>
      </c>
      <c r="U190" s="151"/>
      <c r="V190" s="151"/>
      <c r="W190" s="151"/>
      <c r="X190" s="151"/>
    </row>
    <row r="191" spans="1:24" s="140" customFormat="1" ht="12.75" customHeight="1" x14ac:dyDescent="0.2">
      <c r="A191" s="182">
        <v>377</v>
      </c>
      <c r="B191" s="258" t="s">
        <v>45</v>
      </c>
      <c r="C191" s="258"/>
      <c r="D191" s="147">
        <v>200</v>
      </c>
      <c r="E191" s="148">
        <v>3.61</v>
      </c>
      <c r="F191" s="148">
        <v>0.26</v>
      </c>
      <c r="G191" s="148">
        <v>0.06</v>
      </c>
      <c r="H191" s="148">
        <v>15.22</v>
      </c>
      <c r="I191" s="148">
        <f>F191*4+G191*9+H191*4</f>
        <v>62.46</v>
      </c>
      <c r="J191" s="148"/>
      <c r="K191" s="148">
        <v>0.01</v>
      </c>
      <c r="L191" s="148">
        <v>2.9</v>
      </c>
      <c r="M191" s="145">
        <v>0</v>
      </c>
      <c r="N191" s="148">
        <v>0.06</v>
      </c>
      <c r="O191" s="148">
        <v>8.0500000000000007</v>
      </c>
      <c r="P191" s="148">
        <v>9.7799999999999994</v>
      </c>
      <c r="Q191" s="148">
        <v>1.7000000000000001E-2</v>
      </c>
      <c r="R191" s="149">
        <v>0</v>
      </c>
      <c r="S191" s="148">
        <v>5.24</v>
      </c>
      <c r="T191" s="148">
        <v>0.87</v>
      </c>
      <c r="U191" s="150"/>
      <c r="V191" s="151"/>
      <c r="W191" s="151"/>
      <c r="X191" s="151"/>
    </row>
    <row r="192" spans="1:24" s="140" customFormat="1" ht="11.25" customHeight="1" x14ac:dyDescent="0.2">
      <c r="A192" s="153" t="s">
        <v>66</v>
      </c>
      <c r="B192" s="223" t="s">
        <v>53</v>
      </c>
      <c r="C192" s="224"/>
      <c r="D192" s="147">
        <v>40</v>
      </c>
      <c r="E192" s="148">
        <v>3.1</v>
      </c>
      <c r="F192" s="148">
        <f>1.52*D192/30</f>
        <v>2.0266666666666664</v>
      </c>
      <c r="G192" s="149">
        <f>0.16*D192/30</f>
        <v>0.21333333333333335</v>
      </c>
      <c r="H192" s="149">
        <f>9.84*D192/30</f>
        <v>13.120000000000001</v>
      </c>
      <c r="I192" s="149">
        <f>F192*4+G192*9+H192*4</f>
        <v>62.506666666666668</v>
      </c>
      <c r="J192" s="149">
        <f>0.02*D192/30</f>
        <v>2.6666666666666668E-2</v>
      </c>
      <c r="K192" s="149">
        <f>0.01*D192/30</f>
        <v>1.3333333333333334E-2</v>
      </c>
      <c r="L192" s="149">
        <f>0.44*D192/30</f>
        <v>0.58666666666666667</v>
      </c>
      <c r="M192" s="149">
        <v>0</v>
      </c>
      <c r="N192" s="149">
        <f>0.7*D192/30</f>
        <v>0.93333333333333335</v>
      </c>
      <c r="O192" s="149">
        <f>4*D192/30</f>
        <v>5.333333333333333</v>
      </c>
      <c r="P192" s="149">
        <f>13*D192/30</f>
        <v>17.333333333333332</v>
      </c>
      <c r="Q192" s="149">
        <f>0.008*D192/30</f>
        <v>1.0666666666666666E-2</v>
      </c>
      <c r="R192" s="149">
        <f>0.001*D192/30</f>
        <v>1.3333333333333333E-3</v>
      </c>
      <c r="S192" s="149">
        <v>0</v>
      </c>
      <c r="T192" s="149">
        <f>0.22*D192/30</f>
        <v>0.29333333333333333</v>
      </c>
      <c r="U192" s="150"/>
      <c r="V192" s="151"/>
      <c r="W192" s="151"/>
      <c r="X192" s="151"/>
    </row>
    <row r="193" spans="1:24" s="140" customFormat="1" ht="11.25" customHeight="1" x14ac:dyDescent="0.2">
      <c r="A193" s="63" t="str">
        <f>A262</f>
        <v>Итого за Завтрак мясной</v>
      </c>
      <c r="B193" s="64"/>
      <c r="C193" s="64"/>
      <c r="D193" s="65">
        <f t="shared" ref="D193:I193" si="51">SUM(D188:D192)</f>
        <v>580</v>
      </c>
      <c r="E193" s="154">
        <f t="shared" si="51"/>
        <v>70</v>
      </c>
      <c r="F193" s="39">
        <f t="shared" si="51"/>
        <v>12.919999999999998</v>
      </c>
      <c r="G193" s="38">
        <f t="shared" si="51"/>
        <v>23.063333333333333</v>
      </c>
      <c r="H193" s="38">
        <f t="shared" si="51"/>
        <v>76.553333333333327</v>
      </c>
      <c r="I193" s="49">
        <f t="shared" si="51"/>
        <v>565.52333333333331</v>
      </c>
      <c r="J193" s="39">
        <f t="shared" ref="J193:T193" si="52">SUM(J188:J192)</f>
        <v>0.2116666666666667</v>
      </c>
      <c r="K193" s="39">
        <f t="shared" si="52"/>
        <v>0.10733333333333334</v>
      </c>
      <c r="L193" s="39">
        <f t="shared" si="52"/>
        <v>6.5766666666666671</v>
      </c>
      <c r="M193" s="39">
        <f t="shared" si="52"/>
        <v>5.1000000000000004E-2</v>
      </c>
      <c r="N193" s="39">
        <f t="shared" si="52"/>
        <v>1.0233333333333334</v>
      </c>
      <c r="O193" s="39">
        <f t="shared" si="52"/>
        <v>47.753333333333337</v>
      </c>
      <c r="P193" s="39">
        <f t="shared" si="52"/>
        <v>198.34333333333336</v>
      </c>
      <c r="Q193" s="39">
        <f t="shared" si="52"/>
        <v>1.2116666666666667</v>
      </c>
      <c r="R193" s="40">
        <f t="shared" si="52"/>
        <v>2.5533333333333328</v>
      </c>
      <c r="S193" s="39">
        <f t="shared" si="52"/>
        <v>54.21</v>
      </c>
      <c r="T193" s="39">
        <f t="shared" si="52"/>
        <v>2.8013333333333335</v>
      </c>
      <c r="U193" s="38"/>
      <c r="V193" s="142"/>
      <c r="W193" s="142"/>
      <c r="X193" s="142"/>
    </row>
    <row r="194" spans="1:24" s="140" customFormat="1" ht="11.25" customHeight="1" x14ac:dyDescent="0.2">
      <c r="A194" s="231" t="s">
        <v>62</v>
      </c>
      <c r="B194" s="232"/>
      <c r="C194" s="232"/>
      <c r="D194" s="233"/>
      <c r="E194" s="180"/>
      <c r="F194" s="155">
        <f t="shared" ref="F194:T194" si="53">F193/F214</f>
        <v>0.14355555555555555</v>
      </c>
      <c r="G194" s="44">
        <f t="shared" si="53"/>
        <v>0.25068840579710144</v>
      </c>
      <c r="H194" s="44">
        <f t="shared" si="53"/>
        <v>0.19987815491731939</v>
      </c>
      <c r="I194" s="44">
        <f t="shared" si="53"/>
        <v>0.20791299019607842</v>
      </c>
      <c r="J194" s="44">
        <f t="shared" si="53"/>
        <v>0.15119047619047621</v>
      </c>
      <c r="K194" s="44">
        <f t="shared" si="53"/>
        <v>6.7083333333333328E-2</v>
      </c>
      <c r="L194" s="44">
        <f t="shared" si="53"/>
        <v>9.3952380952380954E-2</v>
      </c>
      <c r="M194" s="44">
        <f t="shared" si="53"/>
        <v>5.6666666666666671E-2</v>
      </c>
      <c r="N194" s="44">
        <f t="shared" si="53"/>
        <v>8.5277777777777786E-2</v>
      </c>
      <c r="O194" s="44">
        <f t="shared" si="53"/>
        <v>3.9794444444444445E-2</v>
      </c>
      <c r="P194" s="44">
        <f t="shared" si="53"/>
        <v>0.16528611111111113</v>
      </c>
      <c r="Q194" s="44">
        <f t="shared" si="53"/>
        <v>8.6547619047619054E-2</v>
      </c>
      <c r="R194" s="44">
        <f t="shared" si="53"/>
        <v>25.533333333333328</v>
      </c>
      <c r="S194" s="44">
        <f t="shared" si="53"/>
        <v>0.1807</v>
      </c>
      <c r="T194" s="44">
        <f t="shared" si="53"/>
        <v>0.15562962962962965</v>
      </c>
      <c r="U194" s="144"/>
      <c r="V194" s="142"/>
      <c r="W194" s="142"/>
      <c r="X194" s="142"/>
    </row>
    <row r="195" spans="1:24" s="140" customFormat="1" ht="11.25" hidden="1" customHeight="1" x14ac:dyDescent="0.2">
      <c r="A195" s="179"/>
      <c r="B195" s="180"/>
      <c r="C195" s="180"/>
      <c r="D195" s="180"/>
      <c r="E195" s="171">
        <f>70-E193</f>
        <v>0</v>
      </c>
      <c r="F195" s="155"/>
      <c r="G195" s="168"/>
      <c r="H195" s="168"/>
      <c r="I195" s="168"/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9"/>
      <c r="U195" s="144"/>
      <c r="V195" s="142"/>
      <c r="W195" s="142"/>
      <c r="X195" s="142"/>
    </row>
    <row r="196" spans="1:24" s="129" customFormat="1" ht="11.25" customHeight="1" x14ac:dyDescent="0.2">
      <c r="A196" s="207" t="s">
        <v>66</v>
      </c>
      <c r="B196" s="292" t="s">
        <v>117</v>
      </c>
      <c r="C196" s="292"/>
      <c r="D196" s="208">
        <v>200</v>
      </c>
      <c r="E196" s="213"/>
      <c r="F196" s="210">
        <v>5.6</v>
      </c>
      <c r="G196" s="210">
        <v>6.4</v>
      </c>
      <c r="H196" s="210">
        <v>9.4</v>
      </c>
      <c r="I196" s="210">
        <v>117.6</v>
      </c>
      <c r="J196" s="210">
        <v>0.08</v>
      </c>
      <c r="K196" s="210">
        <v>0.307</v>
      </c>
      <c r="L196" s="210">
        <v>2.6</v>
      </c>
      <c r="M196" s="210">
        <v>6.7000000000000004E-2</v>
      </c>
      <c r="N196" s="210">
        <v>0.29199999999999998</v>
      </c>
      <c r="O196" s="210">
        <v>240</v>
      </c>
      <c r="P196" s="210">
        <v>180</v>
      </c>
      <c r="Q196" s="210">
        <v>0.8</v>
      </c>
      <c r="R196" s="210">
        <v>1.7999999999999999E-2</v>
      </c>
      <c r="S196" s="210">
        <v>28</v>
      </c>
      <c r="T196" s="210">
        <v>0.12</v>
      </c>
    </row>
    <row r="197" spans="1:24" s="140" customFormat="1" ht="11.25" customHeight="1" x14ac:dyDescent="0.2">
      <c r="A197" s="237" t="str">
        <f>A231</f>
        <v>Обед (полноценный рацион питания)</v>
      </c>
      <c r="B197" s="238"/>
      <c r="C197" s="238"/>
      <c r="D197" s="238"/>
      <c r="E197" s="238"/>
      <c r="F197" s="238"/>
      <c r="G197" s="238"/>
      <c r="H197" s="238"/>
      <c r="I197" s="238"/>
      <c r="J197" s="238"/>
      <c r="K197" s="238"/>
      <c r="L197" s="238"/>
      <c r="M197" s="238"/>
      <c r="N197" s="238"/>
      <c r="O197" s="238"/>
      <c r="P197" s="238"/>
      <c r="Q197" s="238"/>
      <c r="R197" s="238"/>
      <c r="S197" s="238"/>
      <c r="T197" s="239"/>
      <c r="U197" s="11"/>
      <c r="V197" s="24"/>
      <c r="W197" s="24"/>
      <c r="X197" s="24"/>
    </row>
    <row r="198" spans="1:24" s="140" customFormat="1" ht="21" customHeight="1" x14ac:dyDescent="0.2">
      <c r="A198" s="215">
        <v>45</v>
      </c>
      <c r="B198" s="258" t="s">
        <v>87</v>
      </c>
      <c r="C198" s="258"/>
      <c r="D198" s="147">
        <v>100</v>
      </c>
      <c r="E198" s="148">
        <v>8.44</v>
      </c>
      <c r="F198" s="148">
        <f>0.9*D198/60</f>
        <v>1.5</v>
      </c>
      <c r="G198" s="148">
        <f>1.31*D198/60</f>
        <v>2.1833333333333331</v>
      </c>
      <c r="H198" s="148">
        <f>5.6*D198/60</f>
        <v>9.3333333333333339</v>
      </c>
      <c r="I198" s="148">
        <f>F198*4+G198*9+H198*4</f>
        <v>62.983333333333334</v>
      </c>
      <c r="J198" s="148">
        <f>0.06*D198/60</f>
        <v>0.1</v>
      </c>
      <c r="K198" s="148">
        <f>0.07*D198/60</f>
        <v>0.11666666666666668</v>
      </c>
      <c r="L198" s="148">
        <f>15.5*D198/60</f>
        <v>25.833333333333332</v>
      </c>
      <c r="M198" s="149">
        <f>0.071*D198/60</f>
        <v>0.11833333333333333</v>
      </c>
      <c r="N198" s="148">
        <f>0.3*D198/60</f>
        <v>0.5</v>
      </c>
      <c r="O198" s="148">
        <f>28.2*D198/60</f>
        <v>47</v>
      </c>
      <c r="P198" s="148">
        <f>18.9*D198/60</f>
        <v>31.499999999999996</v>
      </c>
      <c r="Q198" s="148">
        <f>0.2*D198/60</f>
        <v>0.33333333333333331</v>
      </c>
      <c r="R198" s="149">
        <f>0.001*D198/60</f>
        <v>1.6666666666666668E-3</v>
      </c>
      <c r="S198" s="148">
        <f>10.5*D198/60</f>
        <v>17.5</v>
      </c>
      <c r="T198" s="148">
        <f>0.6*D198/60</f>
        <v>1</v>
      </c>
      <c r="U198" s="150"/>
      <c r="V198" s="151"/>
      <c r="W198" s="151"/>
      <c r="X198" s="151"/>
    </row>
    <row r="199" spans="1:24" s="140" customFormat="1" x14ac:dyDescent="0.2">
      <c r="A199" s="153">
        <v>108</v>
      </c>
      <c r="B199" s="223" t="s">
        <v>106</v>
      </c>
      <c r="C199" s="224"/>
      <c r="D199" s="145">
        <v>250</v>
      </c>
      <c r="E199" s="148">
        <v>11.87</v>
      </c>
      <c r="F199" s="148">
        <f>2.52*D199/200</f>
        <v>3.15</v>
      </c>
      <c r="G199" s="149">
        <f>2.84*D199/200</f>
        <v>3.55</v>
      </c>
      <c r="H199" s="149">
        <f>16.67*D199/200</f>
        <v>20.837499999999999</v>
      </c>
      <c r="I199" s="148">
        <f>F199*4+G199*9+H199*4</f>
        <v>127.89999999999999</v>
      </c>
      <c r="J199" s="149">
        <f>0.07*D199/200</f>
        <v>8.7499999999999994E-2</v>
      </c>
      <c r="K199" s="149">
        <f>0.06*D199/200</f>
        <v>7.4999999999999997E-2</v>
      </c>
      <c r="L199" s="149">
        <f>9.05*D199/200</f>
        <v>11.3125</v>
      </c>
      <c r="M199" s="149">
        <v>0.59</v>
      </c>
      <c r="N199" s="149">
        <f>0.7*D199/200</f>
        <v>0.875</v>
      </c>
      <c r="O199" s="149">
        <f>20.59*D199/200</f>
        <v>25.737500000000001</v>
      </c>
      <c r="P199" s="149">
        <f>48.19*D199/200</f>
        <v>60.237499999999997</v>
      </c>
      <c r="Q199" s="149">
        <f>0.2*D199/200</f>
        <v>0.25</v>
      </c>
      <c r="R199" s="149">
        <f>0.001*D199/200</f>
        <v>1.25E-3</v>
      </c>
      <c r="S199" s="149">
        <f>14.56*D199/200</f>
        <v>18.2</v>
      </c>
      <c r="T199" s="149">
        <f>0.74*D199/200</f>
        <v>0.92500000000000004</v>
      </c>
      <c r="U199" s="150"/>
      <c r="V199" s="151"/>
      <c r="W199" s="151"/>
      <c r="X199" s="151"/>
    </row>
    <row r="200" spans="1:24" s="140" customFormat="1" ht="13.5" customHeight="1" x14ac:dyDescent="0.2">
      <c r="A200" s="215">
        <v>259</v>
      </c>
      <c r="B200" s="223" t="s">
        <v>51</v>
      </c>
      <c r="C200" s="224"/>
      <c r="D200" s="147">
        <v>240</v>
      </c>
      <c r="E200" s="148">
        <v>52.02</v>
      </c>
      <c r="F200" s="148">
        <f>D200*14.27/200</f>
        <v>17.123999999999999</v>
      </c>
      <c r="G200" s="148">
        <f>D200*15.01/200</f>
        <v>18.012</v>
      </c>
      <c r="H200" s="148">
        <f>D200*25.51/200</f>
        <v>30.612000000000002</v>
      </c>
      <c r="I200" s="148">
        <f>F200*4+G200*9+H200*4</f>
        <v>353.05200000000002</v>
      </c>
      <c r="J200" s="148">
        <f>D200*0.22/200</f>
        <v>0.26400000000000001</v>
      </c>
      <c r="K200" s="148">
        <f>D200*0.2/200</f>
        <v>0.24</v>
      </c>
      <c r="L200" s="148">
        <f>D200*31.3/200</f>
        <v>37.56</v>
      </c>
      <c r="M200" s="149">
        <v>7.0000000000000007E-2</v>
      </c>
      <c r="N200" s="145">
        <v>0.42</v>
      </c>
      <c r="O200" s="148">
        <f>D200*42.2/200</f>
        <v>50.64</v>
      </c>
      <c r="P200" s="146">
        <f>D200*218.18/200</f>
        <v>261.81600000000003</v>
      </c>
      <c r="Q200" s="146">
        <v>4.2</v>
      </c>
      <c r="R200" s="149">
        <v>1.6999999999999999E-3</v>
      </c>
      <c r="S200" s="148">
        <f>D200*55.87/200</f>
        <v>67.043999999999997</v>
      </c>
      <c r="T200" s="148">
        <f>D200*3.32/200</f>
        <v>3.984</v>
      </c>
      <c r="U200" s="150"/>
      <c r="V200" s="151"/>
      <c r="W200" s="151"/>
      <c r="X200" s="151"/>
    </row>
    <row r="201" spans="1:24" s="140" customFormat="1" x14ac:dyDescent="0.2">
      <c r="A201" s="133">
        <v>345</v>
      </c>
      <c r="B201" s="266" t="s">
        <v>49</v>
      </c>
      <c r="C201" s="266"/>
      <c r="D201" s="137">
        <v>200</v>
      </c>
      <c r="E201" s="128">
        <v>4.9000000000000004</v>
      </c>
      <c r="F201" s="128">
        <v>0.06</v>
      </c>
      <c r="G201" s="128">
        <v>0.02</v>
      </c>
      <c r="H201" s="128">
        <v>20.73</v>
      </c>
      <c r="I201" s="128">
        <v>83.34</v>
      </c>
      <c r="J201" s="128">
        <v>0</v>
      </c>
      <c r="K201" s="128">
        <v>0</v>
      </c>
      <c r="L201" s="128">
        <v>2.5</v>
      </c>
      <c r="M201" s="128">
        <v>4.0000000000000001E-3</v>
      </c>
      <c r="N201" s="128">
        <v>0.2</v>
      </c>
      <c r="O201" s="128">
        <v>4</v>
      </c>
      <c r="P201" s="128">
        <v>3.3</v>
      </c>
      <c r="Q201" s="128">
        <v>0.08</v>
      </c>
      <c r="R201" s="128">
        <v>1E-3</v>
      </c>
      <c r="S201" s="128">
        <v>1.7</v>
      </c>
      <c r="T201" s="128">
        <v>0.15</v>
      </c>
      <c r="U201" s="150"/>
      <c r="V201" s="151"/>
      <c r="W201" s="151"/>
      <c r="X201" s="151"/>
    </row>
    <row r="202" spans="1:24" s="140" customFormat="1" ht="11.25" customHeight="1" x14ac:dyDescent="0.2">
      <c r="A202" s="78" t="s">
        <v>66</v>
      </c>
      <c r="B202" s="223" t="s">
        <v>46</v>
      </c>
      <c r="C202" s="224"/>
      <c r="D202" s="147">
        <v>40</v>
      </c>
      <c r="E202" s="148">
        <v>2.04</v>
      </c>
      <c r="F202" s="148">
        <f>2.64*D202/40</f>
        <v>2.64</v>
      </c>
      <c r="G202" s="148">
        <f>0.48*D202/40</f>
        <v>0.48</v>
      </c>
      <c r="H202" s="148">
        <f>13.68*D202/40</f>
        <v>13.680000000000001</v>
      </c>
      <c r="I202" s="146">
        <f>F202*4+G202*9+H202*4</f>
        <v>69.600000000000009</v>
      </c>
      <c r="J202" s="145">
        <f>0.08*D202/40</f>
        <v>0.08</v>
      </c>
      <c r="K202" s="148">
        <f>0.04*D202/40</f>
        <v>0.04</v>
      </c>
      <c r="L202" s="147">
        <v>0</v>
      </c>
      <c r="M202" s="147">
        <v>0</v>
      </c>
      <c r="N202" s="148">
        <f>2.4*D202/40</f>
        <v>2.4</v>
      </c>
      <c r="O202" s="148">
        <f>14*D202/40</f>
        <v>14</v>
      </c>
      <c r="P202" s="148">
        <f>63.2*D202/40</f>
        <v>63.2</v>
      </c>
      <c r="Q202" s="148">
        <f>1.2*D202/40</f>
        <v>1.2</v>
      </c>
      <c r="R202" s="149">
        <f>0.001*D202/40</f>
        <v>1E-3</v>
      </c>
      <c r="S202" s="148">
        <f>9.4*D202/40</f>
        <v>9.4</v>
      </c>
      <c r="T202" s="145">
        <f>0.78*D202/40</f>
        <v>0.78</v>
      </c>
      <c r="U202" s="30"/>
      <c r="V202" s="31"/>
      <c r="W202" s="31"/>
      <c r="X202" s="31"/>
    </row>
    <row r="203" spans="1:24" x14ac:dyDescent="0.2">
      <c r="A203" s="184" t="s">
        <v>66</v>
      </c>
      <c r="B203" s="276" t="s">
        <v>110</v>
      </c>
      <c r="C203" s="252"/>
      <c r="D203" s="184">
        <v>40</v>
      </c>
      <c r="E203" s="185">
        <v>7.63</v>
      </c>
      <c r="F203" s="185">
        <v>0.65</v>
      </c>
      <c r="G203" s="186">
        <v>3.8</v>
      </c>
      <c r="H203" s="187">
        <v>17.600000000000001</v>
      </c>
      <c r="I203" s="185">
        <v>38</v>
      </c>
      <c r="J203" s="185">
        <v>2.5999999999999999E-2</v>
      </c>
      <c r="K203" s="185">
        <v>0.03</v>
      </c>
      <c r="L203" s="185">
        <v>0.13</v>
      </c>
      <c r="M203" s="185">
        <v>11.96</v>
      </c>
      <c r="N203" s="186">
        <v>0.39</v>
      </c>
      <c r="O203" s="185">
        <v>24.18</v>
      </c>
      <c r="P203" s="185">
        <v>49.4</v>
      </c>
      <c r="Q203" s="188">
        <v>0.2</v>
      </c>
      <c r="R203" s="185">
        <v>2E-3</v>
      </c>
      <c r="S203" s="185">
        <v>18.72</v>
      </c>
      <c r="T203" s="185">
        <v>0.182</v>
      </c>
      <c r="U203"/>
      <c r="V203"/>
      <c r="W203"/>
      <c r="X203"/>
    </row>
    <row r="204" spans="1:24" s="140" customFormat="1" ht="11.25" customHeight="1" x14ac:dyDescent="0.2">
      <c r="A204" s="153" t="s">
        <v>66</v>
      </c>
      <c r="B204" s="223" t="s">
        <v>53</v>
      </c>
      <c r="C204" s="224"/>
      <c r="D204" s="147">
        <v>40</v>
      </c>
      <c r="E204" s="148">
        <v>3.1</v>
      </c>
      <c r="F204" s="148">
        <f>1.52*D204/30</f>
        <v>2.0266666666666664</v>
      </c>
      <c r="G204" s="149">
        <f>0.16*D204/30</f>
        <v>0.21333333333333335</v>
      </c>
      <c r="H204" s="149">
        <f>9.84*D204/30</f>
        <v>13.120000000000001</v>
      </c>
      <c r="I204" s="149">
        <f>F204*4+G204*9+H204*4</f>
        <v>62.506666666666668</v>
      </c>
      <c r="J204" s="149">
        <f>0.02*D204/30</f>
        <v>2.6666666666666668E-2</v>
      </c>
      <c r="K204" s="149">
        <f>0.01*D204/30</f>
        <v>1.3333333333333334E-2</v>
      </c>
      <c r="L204" s="149">
        <f>0.44*D204/30</f>
        <v>0.58666666666666667</v>
      </c>
      <c r="M204" s="149">
        <v>0</v>
      </c>
      <c r="N204" s="149">
        <f>0.7*D204/30</f>
        <v>0.93333333333333335</v>
      </c>
      <c r="O204" s="149">
        <f>4*D204/30</f>
        <v>5.333333333333333</v>
      </c>
      <c r="P204" s="149">
        <f>13*D204/30</f>
        <v>17.333333333333332</v>
      </c>
      <c r="Q204" s="149">
        <f>0.008*D204/30</f>
        <v>1.0666666666666666E-2</v>
      </c>
      <c r="R204" s="149">
        <f>0.001*D204/30</f>
        <v>1.3333333333333333E-3</v>
      </c>
      <c r="S204" s="149">
        <v>0</v>
      </c>
      <c r="T204" s="149">
        <f>0.22*D204/30</f>
        <v>0.29333333333333333</v>
      </c>
      <c r="U204" s="150"/>
      <c r="V204" s="151"/>
      <c r="W204" s="151"/>
      <c r="X204" s="151"/>
    </row>
    <row r="205" spans="1:24" s="140" customFormat="1" ht="11.25" customHeight="1" x14ac:dyDescent="0.2">
      <c r="A205" s="61" t="s">
        <v>29</v>
      </c>
      <c r="B205" s="62"/>
      <c r="C205" s="62"/>
      <c r="D205" s="65">
        <f t="shared" ref="D205:T205" si="54">SUM(D198:D204)</f>
        <v>910</v>
      </c>
      <c r="E205" s="154">
        <f t="shared" si="54"/>
        <v>90</v>
      </c>
      <c r="F205" s="39">
        <f t="shared" si="54"/>
        <v>27.150666666666666</v>
      </c>
      <c r="G205" s="38">
        <f t="shared" si="54"/>
        <v>28.25866666666667</v>
      </c>
      <c r="H205" s="38">
        <f t="shared" si="54"/>
        <v>125.91283333333334</v>
      </c>
      <c r="I205" s="38">
        <f t="shared" si="54"/>
        <v>797.38200000000006</v>
      </c>
      <c r="J205" s="38">
        <f t="shared" si="54"/>
        <v>0.58416666666666661</v>
      </c>
      <c r="K205" s="38">
        <f t="shared" si="54"/>
        <v>0.5149999999999999</v>
      </c>
      <c r="L205" s="38">
        <f t="shared" si="54"/>
        <v>77.922499999999999</v>
      </c>
      <c r="M205" s="38">
        <f t="shared" si="54"/>
        <v>12.742333333333335</v>
      </c>
      <c r="N205" s="38">
        <f t="shared" si="54"/>
        <v>5.7183333333333328</v>
      </c>
      <c r="O205" s="38">
        <f t="shared" si="54"/>
        <v>170.89083333333335</v>
      </c>
      <c r="P205" s="38">
        <f t="shared" si="54"/>
        <v>486.78683333333333</v>
      </c>
      <c r="Q205" s="38">
        <f t="shared" si="54"/>
        <v>6.274</v>
      </c>
      <c r="R205" s="38">
        <f t="shared" si="54"/>
        <v>9.9500000000000005E-3</v>
      </c>
      <c r="S205" s="38">
        <f t="shared" si="54"/>
        <v>132.56400000000002</v>
      </c>
      <c r="T205" s="38">
        <f t="shared" si="54"/>
        <v>7.3143333333333338</v>
      </c>
      <c r="U205" s="38"/>
      <c r="V205" s="142"/>
      <c r="W205" s="142"/>
      <c r="X205" s="142"/>
    </row>
    <row r="206" spans="1:24" s="140" customFormat="1" ht="11.25" customHeight="1" x14ac:dyDescent="0.2">
      <c r="A206" s="231" t="s">
        <v>62</v>
      </c>
      <c r="B206" s="232"/>
      <c r="C206" s="232"/>
      <c r="D206" s="233"/>
      <c r="E206" s="180"/>
      <c r="F206" s="155">
        <f t="shared" ref="F206:T206" si="55">F205/F214</f>
        <v>0.30167407407407409</v>
      </c>
      <c r="G206" s="44">
        <f t="shared" si="55"/>
        <v>0.3071594202898551</v>
      </c>
      <c r="H206" s="44">
        <f t="shared" si="55"/>
        <v>0.32875413402959097</v>
      </c>
      <c r="I206" s="44">
        <f t="shared" si="55"/>
        <v>0.29315514705882356</v>
      </c>
      <c r="J206" s="44">
        <f t="shared" si="55"/>
        <v>0.41726190476190472</v>
      </c>
      <c r="K206" s="44">
        <f t="shared" si="55"/>
        <v>0.32187499999999991</v>
      </c>
      <c r="L206" s="44">
        <f t="shared" si="55"/>
        <v>1.1131785714285714</v>
      </c>
      <c r="M206" s="44">
        <f t="shared" si="55"/>
        <v>14.158148148148149</v>
      </c>
      <c r="N206" s="44">
        <f t="shared" si="55"/>
        <v>0.47652777777777772</v>
      </c>
      <c r="O206" s="44">
        <f t="shared" si="55"/>
        <v>0.14240902777777778</v>
      </c>
      <c r="P206" s="44">
        <f t="shared" si="55"/>
        <v>0.40565569444444444</v>
      </c>
      <c r="Q206" s="44">
        <f t="shared" si="55"/>
        <v>0.44814285714285712</v>
      </c>
      <c r="R206" s="44">
        <f t="shared" si="55"/>
        <v>9.9500000000000005E-2</v>
      </c>
      <c r="S206" s="44">
        <f t="shared" si="55"/>
        <v>0.44188000000000005</v>
      </c>
      <c r="T206" s="44">
        <f t="shared" si="55"/>
        <v>0.40635185185185185</v>
      </c>
      <c r="U206" s="144"/>
      <c r="V206" s="142"/>
      <c r="W206" s="142"/>
      <c r="X206" s="142"/>
    </row>
    <row r="207" spans="1:24" s="140" customFormat="1" ht="11.25" hidden="1" customHeight="1" x14ac:dyDescent="0.2">
      <c r="A207" s="179"/>
      <c r="B207" s="180"/>
      <c r="C207" s="180"/>
      <c r="D207" s="180"/>
      <c r="E207" s="171">
        <f>90-E205</f>
        <v>0</v>
      </c>
      <c r="F207" s="155"/>
      <c r="G207" s="168"/>
      <c r="H207" s="168"/>
      <c r="I207" s="168"/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9"/>
      <c r="U207" s="144"/>
      <c r="V207" s="142"/>
      <c r="W207" s="142"/>
      <c r="X207" s="142"/>
    </row>
    <row r="208" spans="1:24" s="140" customFormat="1" ht="11.25" customHeight="1" x14ac:dyDescent="0.2">
      <c r="A208" s="234" t="s">
        <v>30</v>
      </c>
      <c r="B208" s="235"/>
      <c r="C208" s="235"/>
      <c r="D208" s="235"/>
      <c r="E208" s="235"/>
      <c r="F208" s="235"/>
      <c r="G208" s="235"/>
      <c r="H208" s="235"/>
      <c r="I208" s="235"/>
      <c r="J208" s="235"/>
      <c r="K208" s="235"/>
      <c r="L208" s="235"/>
      <c r="M208" s="235"/>
      <c r="N208" s="235"/>
      <c r="O208" s="235"/>
      <c r="P208" s="235"/>
      <c r="Q208" s="235"/>
      <c r="R208" s="235"/>
      <c r="S208" s="235"/>
      <c r="T208" s="236"/>
      <c r="U208" s="11"/>
      <c r="V208" s="24"/>
      <c r="W208" s="24"/>
      <c r="X208" s="24"/>
    </row>
    <row r="209" spans="1:24" s="129" customFormat="1" ht="11.25" customHeight="1" x14ac:dyDescent="0.2">
      <c r="A209" s="135"/>
      <c r="B209" s="253"/>
      <c r="C209" s="253"/>
      <c r="D209" s="131"/>
      <c r="E209" s="130"/>
      <c r="F209" s="130"/>
      <c r="G209" s="130"/>
      <c r="H209" s="130"/>
      <c r="I209" s="130"/>
      <c r="J209" s="130"/>
      <c r="K209" s="130"/>
      <c r="L209" s="203"/>
      <c r="M209" s="130"/>
      <c r="N209" s="202"/>
      <c r="O209" s="203"/>
      <c r="P209" s="130"/>
      <c r="Q209" s="203"/>
      <c r="R209" s="131"/>
      <c r="S209" s="130"/>
      <c r="T209" s="130"/>
    </row>
    <row r="210" spans="1:24" s="140" customFormat="1" ht="12.75" customHeight="1" x14ac:dyDescent="0.2">
      <c r="A210" s="198"/>
      <c r="B210" s="258"/>
      <c r="C210" s="258"/>
      <c r="D210" s="147"/>
      <c r="E210" s="148"/>
      <c r="F210" s="148"/>
      <c r="G210" s="148"/>
      <c r="H210" s="148"/>
      <c r="I210" s="148"/>
      <c r="J210" s="148"/>
      <c r="K210" s="148"/>
      <c r="L210" s="148"/>
      <c r="M210" s="145"/>
      <c r="N210" s="148"/>
      <c r="O210" s="148"/>
      <c r="P210" s="148"/>
      <c r="Q210" s="148"/>
      <c r="R210" s="149"/>
      <c r="S210" s="148"/>
      <c r="T210" s="148"/>
      <c r="U210" s="150"/>
      <c r="V210" s="151"/>
      <c r="W210" s="151"/>
      <c r="X210" s="151"/>
    </row>
    <row r="211" spans="1:24" s="1" customFormat="1" ht="11.25" customHeight="1" x14ac:dyDescent="0.2">
      <c r="A211" s="61" t="s">
        <v>31</v>
      </c>
      <c r="B211" s="62"/>
      <c r="C211" s="62"/>
      <c r="D211" s="65"/>
      <c r="E211" s="212">
        <f>SUM(E209:E210)</f>
        <v>0</v>
      </c>
      <c r="F211" s="39">
        <f>SUM(F209:F210)</f>
        <v>0</v>
      </c>
      <c r="G211" s="38">
        <f>SUM(G209:G210)</f>
        <v>0</v>
      </c>
      <c r="H211" s="38">
        <f>SUM(H209:H210)</f>
        <v>0</v>
      </c>
      <c r="I211" s="38">
        <f>SUM(I209:I210)</f>
        <v>0</v>
      </c>
      <c r="J211" s="39">
        <f t="shared" ref="J211:T211" si="56">SUM(J209:J210)</f>
        <v>0</v>
      </c>
      <c r="K211" s="39">
        <f t="shared" si="56"/>
        <v>0</v>
      </c>
      <c r="L211" s="38">
        <f t="shared" si="56"/>
        <v>0</v>
      </c>
      <c r="M211" s="38">
        <f t="shared" si="56"/>
        <v>0</v>
      </c>
      <c r="N211" s="38">
        <f t="shared" si="56"/>
        <v>0</v>
      </c>
      <c r="O211" s="38">
        <f t="shared" si="56"/>
        <v>0</v>
      </c>
      <c r="P211" s="38">
        <f t="shared" si="56"/>
        <v>0</v>
      </c>
      <c r="Q211" s="38">
        <f t="shared" si="56"/>
        <v>0</v>
      </c>
      <c r="R211" s="40">
        <f t="shared" si="56"/>
        <v>0</v>
      </c>
      <c r="S211" s="38">
        <f t="shared" si="56"/>
        <v>0</v>
      </c>
      <c r="T211" s="39">
        <f t="shared" si="56"/>
        <v>0</v>
      </c>
      <c r="U211" s="38"/>
      <c r="V211" s="142"/>
      <c r="W211" s="142"/>
      <c r="X211" s="142"/>
    </row>
    <row r="212" spans="1:24" s="1" customFormat="1" ht="11.25" customHeight="1" x14ac:dyDescent="0.2">
      <c r="A212" s="231" t="s">
        <v>62</v>
      </c>
      <c r="B212" s="232"/>
      <c r="C212" s="232"/>
      <c r="D212" s="233"/>
      <c r="E212" s="181"/>
      <c r="F212" s="76">
        <f>F211/F214</f>
        <v>0</v>
      </c>
      <c r="G212" s="44">
        <f t="shared" ref="G212:T212" si="57">G211/G214</f>
        <v>0</v>
      </c>
      <c r="H212" s="44">
        <f t="shared" si="57"/>
        <v>0</v>
      </c>
      <c r="I212" s="44">
        <f t="shared" si="57"/>
        <v>0</v>
      </c>
      <c r="J212" s="44">
        <f t="shared" si="57"/>
        <v>0</v>
      </c>
      <c r="K212" s="44">
        <f t="shared" si="57"/>
        <v>0</v>
      </c>
      <c r="L212" s="44">
        <f t="shared" si="57"/>
        <v>0</v>
      </c>
      <c r="M212" s="44">
        <f t="shared" si="57"/>
        <v>0</v>
      </c>
      <c r="N212" s="44">
        <f t="shared" si="57"/>
        <v>0</v>
      </c>
      <c r="O212" s="44">
        <f t="shared" si="57"/>
        <v>0</v>
      </c>
      <c r="P212" s="44">
        <f t="shared" si="57"/>
        <v>0</v>
      </c>
      <c r="Q212" s="44">
        <f t="shared" si="57"/>
        <v>0</v>
      </c>
      <c r="R212" s="44">
        <f t="shared" si="57"/>
        <v>0</v>
      </c>
      <c r="S212" s="44">
        <f t="shared" si="57"/>
        <v>0</v>
      </c>
      <c r="T212" s="44">
        <f t="shared" si="57"/>
        <v>0</v>
      </c>
      <c r="U212" s="144"/>
      <c r="V212" s="142"/>
      <c r="W212" s="142"/>
      <c r="X212" s="142"/>
    </row>
    <row r="213" spans="1:24" s="1" customFormat="1" ht="11.25" customHeight="1" x14ac:dyDescent="0.2">
      <c r="A213" s="261" t="s">
        <v>61</v>
      </c>
      <c r="B213" s="262"/>
      <c r="C213" s="262"/>
      <c r="D213" s="263"/>
      <c r="E213" s="174"/>
      <c r="F213" s="39">
        <f t="shared" ref="F213:T213" si="58">SUM(F193,F205,F211)</f>
        <v>40.070666666666668</v>
      </c>
      <c r="G213" s="38">
        <f t="shared" si="58"/>
        <v>51.322000000000003</v>
      </c>
      <c r="H213" s="38">
        <f t="shared" si="58"/>
        <v>202.46616666666665</v>
      </c>
      <c r="I213" s="38">
        <f t="shared" si="58"/>
        <v>1362.9053333333334</v>
      </c>
      <c r="J213" s="39">
        <f t="shared" si="58"/>
        <v>0.79583333333333328</v>
      </c>
      <c r="K213" s="39">
        <f t="shared" si="58"/>
        <v>0.62233333333333318</v>
      </c>
      <c r="L213" s="38">
        <f t="shared" si="58"/>
        <v>84.499166666666667</v>
      </c>
      <c r="M213" s="39">
        <f t="shared" si="58"/>
        <v>12.793333333333335</v>
      </c>
      <c r="N213" s="39">
        <f t="shared" si="58"/>
        <v>6.7416666666666663</v>
      </c>
      <c r="O213" s="38">
        <f t="shared" si="58"/>
        <v>218.64416666666668</v>
      </c>
      <c r="P213" s="38">
        <f t="shared" si="58"/>
        <v>685.1301666666667</v>
      </c>
      <c r="Q213" s="39">
        <f t="shared" si="58"/>
        <v>7.4856666666666669</v>
      </c>
      <c r="R213" s="40">
        <f t="shared" si="58"/>
        <v>2.5632833333333327</v>
      </c>
      <c r="S213" s="39">
        <f t="shared" si="58"/>
        <v>186.77400000000003</v>
      </c>
      <c r="T213" s="39">
        <f t="shared" si="58"/>
        <v>10.115666666666668</v>
      </c>
      <c r="U213" s="42"/>
      <c r="V213" s="142"/>
      <c r="W213" s="142"/>
      <c r="X213" s="142"/>
    </row>
    <row r="214" spans="1:24" s="1" customFormat="1" ht="11.25" customHeight="1" x14ac:dyDescent="0.2">
      <c r="A214" s="261" t="s">
        <v>63</v>
      </c>
      <c r="B214" s="262"/>
      <c r="C214" s="262"/>
      <c r="D214" s="263"/>
      <c r="E214" s="174"/>
      <c r="F214" s="148">
        <v>90</v>
      </c>
      <c r="G214" s="146">
        <v>92</v>
      </c>
      <c r="H214" s="146">
        <v>383</v>
      </c>
      <c r="I214" s="146">
        <v>2720</v>
      </c>
      <c r="J214" s="148">
        <v>1.4</v>
      </c>
      <c r="K214" s="148">
        <v>1.6</v>
      </c>
      <c r="L214" s="147">
        <v>70</v>
      </c>
      <c r="M214" s="148">
        <v>0.9</v>
      </c>
      <c r="N214" s="147">
        <v>12</v>
      </c>
      <c r="O214" s="147">
        <v>1200</v>
      </c>
      <c r="P214" s="147">
        <v>1200</v>
      </c>
      <c r="Q214" s="147">
        <v>14</v>
      </c>
      <c r="R214" s="146">
        <v>0.1</v>
      </c>
      <c r="S214" s="147">
        <v>300</v>
      </c>
      <c r="T214" s="148">
        <v>18</v>
      </c>
      <c r="U214" s="150"/>
      <c r="V214" s="151"/>
      <c r="W214" s="151"/>
      <c r="X214" s="151"/>
    </row>
    <row r="215" spans="1:24" s="1" customFormat="1" ht="11.25" customHeight="1" x14ac:dyDescent="0.2">
      <c r="A215" s="231" t="s">
        <v>62</v>
      </c>
      <c r="B215" s="232"/>
      <c r="C215" s="232"/>
      <c r="D215" s="233"/>
      <c r="E215" s="181"/>
      <c r="F215" s="76">
        <f t="shared" ref="F215:T215" si="59">F213/F214</f>
        <v>0.44522962962962964</v>
      </c>
      <c r="G215" s="44">
        <f t="shared" si="59"/>
        <v>0.5578478260869566</v>
      </c>
      <c r="H215" s="44">
        <f t="shared" si="59"/>
        <v>0.52863228894691028</v>
      </c>
      <c r="I215" s="44">
        <f t="shared" si="59"/>
        <v>0.50106813725490196</v>
      </c>
      <c r="J215" s="44">
        <f t="shared" si="59"/>
        <v>0.56845238095238093</v>
      </c>
      <c r="K215" s="44">
        <f t="shared" si="59"/>
        <v>0.38895833333333324</v>
      </c>
      <c r="L215" s="45">
        <f t="shared" si="59"/>
        <v>1.2071309523809524</v>
      </c>
      <c r="M215" s="45">
        <f t="shared" si="59"/>
        <v>14.214814814814815</v>
      </c>
      <c r="N215" s="45">
        <f t="shared" si="59"/>
        <v>0.56180555555555556</v>
      </c>
      <c r="O215" s="44">
        <f t="shared" si="59"/>
        <v>0.18220347222222222</v>
      </c>
      <c r="P215" s="44">
        <f t="shared" si="59"/>
        <v>0.57094180555555563</v>
      </c>
      <c r="Q215" s="44">
        <f t="shared" si="59"/>
        <v>0.53469047619047616</v>
      </c>
      <c r="R215" s="45">
        <f t="shared" si="59"/>
        <v>25.632833333333327</v>
      </c>
      <c r="S215" s="44">
        <f t="shared" si="59"/>
        <v>0.62258000000000013</v>
      </c>
      <c r="T215" s="45">
        <f t="shared" si="59"/>
        <v>0.56198148148148153</v>
      </c>
      <c r="U215" s="46"/>
      <c r="V215" s="47"/>
      <c r="W215" s="47"/>
      <c r="X215" s="47"/>
    </row>
    <row r="216" spans="1:24" s="1" customFormat="1" ht="11.25" customHeight="1" x14ac:dyDescent="0.2">
      <c r="A216" s="57"/>
      <c r="B216" s="54"/>
      <c r="C216" s="54"/>
      <c r="D216" s="71"/>
      <c r="E216" s="71"/>
      <c r="F216" s="34"/>
      <c r="G216" s="71"/>
      <c r="H216" s="71"/>
      <c r="I216" s="71"/>
      <c r="J216" s="71"/>
      <c r="K216" s="71"/>
      <c r="L216" s="71"/>
      <c r="M216" s="265" t="s">
        <v>65</v>
      </c>
      <c r="N216" s="265"/>
      <c r="O216" s="265"/>
      <c r="P216" s="265"/>
      <c r="Q216" s="265"/>
      <c r="R216" s="265"/>
      <c r="S216" s="265"/>
      <c r="T216" s="265"/>
      <c r="U216" s="12"/>
      <c r="V216" s="19"/>
      <c r="W216" s="19"/>
      <c r="X216" s="19"/>
    </row>
    <row r="217" spans="1:24" s="1" customFormat="1" ht="11.25" customHeight="1" x14ac:dyDescent="0.2">
      <c r="A217" s="264" t="s">
        <v>41</v>
      </c>
      <c r="B217" s="264"/>
      <c r="C217" s="264"/>
      <c r="D217" s="264"/>
      <c r="E217" s="264"/>
      <c r="F217" s="264"/>
      <c r="G217" s="264"/>
      <c r="H217" s="264"/>
      <c r="I217" s="264"/>
      <c r="J217" s="264"/>
      <c r="K217" s="264"/>
      <c r="L217" s="264"/>
      <c r="M217" s="264"/>
      <c r="N217" s="264"/>
      <c r="O217" s="264"/>
      <c r="P217" s="264"/>
      <c r="Q217" s="264"/>
      <c r="R217" s="264"/>
      <c r="S217" s="264"/>
      <c r="T217" s="264"/>
      <c r="U217" s="13"/>
      <c r="V217" s="25"/>
      <c r="W217" s="25"/>
      <c r="X217" s="25"/>
    </row>
    <row r="218" spans="1:24" s="1" customFormat="1" ht="11.25" customHeight="1" x14ac:dyDescent="0.2">
      <c r="A218" s="58" t="s">
        <v>55</v>
      </c>
      <c r="B218" s="54"/>
      <c r="C218" s="54"/>
      <c r="D218" s="2"/>
      <c r="E218" s="2"/>
      <c r="F218" s="34"/>
      <c r="G218" s="240" t="s">
        <v>33</v>
      </c>
      <c r="H218" s="240"/>
      <c r="I218" s="240"/>
      <c r="J218" s="71"/>
      <c r="K218" s="71"/>
      <c r="L218" s="247" t="s">
        <v>2</v>
      </c>
      <c r="M218" s="247"/>
      <c r="N218" s="259"/>
      <c r="O218" s="259"/>
      <c r="P218" s="259"/>
      <c r="Q218" s="259"/>
      <c r="R218" s="71"/>
      <c r="S218" s="71"/>
      <c r="T218" s="71"/>
      <c r="U218" s="14"/>
      <c r="V218" s="20"/>
      <c r="W218" s="20"/>
      <c r="X218" s="20"/>
    </row>
    <row r="219" spans="1:24" s="1" customFormat="1" ht="11.25" customHeight="1" x14ac:dyDescent="0.2">
      <c r="A219" s="54"/>
      <c r="B219" s="54"/>
      <c r="C219" s="54"/>
      <c r="D219" s="260" t="s">
        <v>3</v>
      </c>
      <c r="E219" s="260"/>
      <c r="F219" s="260"/>
      <c r="G219" s="7">
        <v>2</v>
      </c>
      <c r="H219" s="71"/>
      <c r="I219" s="2"/>
      <c r="J219" s="2"/>
      <c r="K219" s="2"/>
      <c r="L219" s="260" t="s">
        <v>4</v>
      </c>
      <c r="M219" s="260"/>
      <c r="N219" s="240" t="s">
        <v>121</v>
      </c>
      <c r="O219" s="240"/>
      <c r="P219" s="240"/>
      <c r="Q219" s="240"/>
      <c r="R219" s="240"/>
      <c r="S219" s="240"/>
      <c r="T219" s="240"/>
      <c r="U219" s="15"/>
      <c r="V219" s="21"/>
      <c r="W219" s="21"/>
      <c r="X219" s="21"/>
    </row>
    <row r="220" spans="1:24" s="1" customFormat="1" ht="21.75" customHeight="1" x14ac:dyDescent="0.2">
      <c r="A220" s="241" t="s">
        <v>5</v>
      </c>
      <c r="B220" s="243" t="s">
        <v>6</v>
      </c>
      <c r="C220" s="244"/>
      <c r="D220" s="241" t="s">
        <v>7</v>
      </c>
      <c r="E220" s="183"/>
      <c r="F220" s="248" t="s">
        <v>8</v>
      </c>
      <c r="G220" s="249"/>
      <c r="H220" s="250"/>
      <c r="I220" s="241" t="s">
        <v>9</v>
      </c>
      <c r="J220" s="248" t="s">
        <v>10</v>
      </c>
      <c r="K220" s="249"/>
      <c r="L220" s="249"/>
      <c r="M220" s="249"/>
      <c r="N220" s="250"/>
      <c r="O220" s="248" t="s">
        <v>11</v>
      </c>
      <c r="P220" s="249"/>
      <c r="Q220" s="249"/>
      <c r="R220" s="249"/>
      <c r="S220" s="249"/>
      <c r="T220" s="250"/>
      <c r="U220" s="9"/>
      <c r="V220" s="22"/>
      <c r="W220" s="22"/>
      <c r="X220" s="22"/>
    </row>
    <row r="221" spans="1:24" s="1" customFormat="1" ht="21" customHeight="1" x14ac:dyDescent="0.2">
      <c r="A221" s="242"/>
      <c r="B221" s="245"/>
      <c r="C221" s="246"/>
      <c r="D221" s="242"/>
      <c r="E221" s="176"/>
      <c r="F221" s="100" t="s">
        <v>12</v>
      </c>
      <c r="G221" s="177" t="s">
        <v>13</v>
      </c>
      <c r="H221" s="177" t="s">
        <v>14</v>
      </c>
      <c r="I221" s="242"/>
      <c r="J221" s="177" t="s">
        <v>15</v>
      </c>
      <c r="K221" s="177" t="s">
        <v>57</v>
      </c>
      <c r="L221" s="177" t="s">
        <v>16</v>
      </c>
      <c r="M221" s="177" t="s">
        <v>17</v>
      </c>
      <c r="N221" s="177" t="s">
        <v>18</v>
      </c>
      <c r="O221" s="177" t="s">
        <v>19</v>
      </c>
      <c r="P221" s="177" t="s">
        <v>20</v>
      </c>
      <c r="Q221" s="177" t="s">
        <v>58</v>
      </c>
      <c r="R221" s="177" t="s">
        <v>59</v>
      </c>
      <c r="S221" s="177" t="s">
        <v>21</v>
      </c>
      <c r="T221" s="177" t="s">
        <v>22</v>
      </c>
      <c r="U221" s="9"/>
      <c r="V221" s="22"/>
      <c r="W221" s="22"/>
      <c r="X221" s="22"/>
    </row>
    <row r="222" spans="1:24" s="1" customFormat="1" ht="11.25" customHeight="1" x14ac:dyDescent="0.2">
      <c r="A222" s="182">
        <v>1</v>
      </c>
      <c r="B222" s="256">
        <v>2</v>
      </c>
      <c r="C222" s="257"/>
      <c r="D222" s="37">
        <v>3</v>
      </c>
      <c r="E222" s="37"/>
      <c r="F222" s="37">
        <v>4</v>
      </c>
      <c r="G222" s="37">
        <v>5</v>
      </c>
      <c r="H222" s="37">
        <v>6</v>
      </c>
      <c r="I222" s="37">
        <v>7</v>
      </c>
      <c r="J222" s="37">
        <v>8</v>
      </c>
      <c r="K222" s="37">
        <v>9</v>
      </c>
      <c r="L222" s="37">
        <v>10</v>
      </c>
      <c r="M222" s="37">
        <v>11</v>
      </c>
      <c r="N222" s="37">
        <v>12</v>
      </c>
      <c r="O222" s="37">
        <v>13</v>
      </c>
      <c r="P222" s="37">
        <v>14</v>
      </c>
      <c r="Q222" s="37">
        <v>15</v>
      </c>
      <c r="R222" s="37">
        <v>16</v>
      </c>
      <c r="S222" s="37">
        <v>17</v>
      </c>
      <c r="T222" s="37">
        <v>18</v>
      </c>
      <c r="U222" s="10"/>
      <c r="V222" s="23"/>
      <c r="W222" s="23"/>
      <c r="X222" s="23"/>
    </row>
    <row r="223" spans="1:24" s="1" customFormat="1" ht="11.25" customHeight="1" x14ac:dyDescent="0.2">
      <c r="A223" s="234" t="s">
        <v>26</v>
      </c>
      <c r="B223" s="235"/>
      <c r="C223" s="235"/>
      <c r="D223" s="235"/>
      <c r="E223" s="235"/>
      <c r="F223" s="235"/>
      <c r="G223" s="235"/>
      <c r="H223" s="235"/>
      <c r="I223" s="235"/>
      <c r="J223" s="235"/>
      <c r="K223" s="235"/>
      <c r="L223" s="235"/>
      <c r="M223" s="235"/>
      <c r="N223" s="235"/>
      <c r="O223" s="235"/>
      <c r="P223" s="235"/>
      <c r="Q223" s="235"/>
      <c r="R223" s="235"/>
      <c r="S223" s="235"/>
      <c r="T223" s="236"/>
      <c r="U223" s="11"/>
      <c r="V223" s="24"/>
      <c r="W223" s="24"/>
      <c r="X223" s="24"/>
    </row>
    <row r="224" spans="1:24" s="129" customFormat="1" ht="11.25" customHeight="1" x14ac:dyDescent="0.2">
      <c r="A224" s="132" t="s">
        <v>66</v>
      </c>
      <c r="B224" s="253" t="s">
        <v>98</v>
      </c>
      <c r="C224" s="253"/>
      <c r="D224" s="131">
        <v>20</v>
      </c>
      <c r="E224" s="130">
        <v>6.47</v>
      </c>
      <c r="F224" s="130">
        <v>1.25</v>
      </c>
      <c r="G224" s="130"/>
      <c r="H224" s="130">
        <v>9.5</v>
      </c>
      <c r="I224" s="130">
        <v>43</v>
      </c>
      <c r="J224" s="130">
        <v>8.0000000000000002E-3</v>
      </c>
      <c r="K224" s="130">
        <v>7.0000000000000001E-3</v>
      </c>
      <c r="L224" s="130">
        <v>0.16</v>
      </c>
      <c r="M224" s="130">
        <v>8.0000000000000002E-3</v>
      </c>
      <c r="N224" s="130">
        <v>0.03</v>
      </c>
      <c r="O224" s="130">
        <v>51.16</v>
      </c>
      <c r="P224" s="130">
        <v>36.5</v>
      </c>
      <c r="Q224" s="130">
        <v>0.16</v>
      </c>
      <c r="R224" s="130">
        <v>2E-3</v>
      </c>
      <c r="S224" s="130">
        <v>5.66</v>
      </c>
      <c r="T224" s="130">
        <v>0.03</v>
      </c>
    </row>
    <row r="225" spans="1:24" s="129" customFormat="1" x14ac:dyDescent="0.2">
      <c r="A225" s="135">
        <v>222</v>
      </c>
      <c r="B225" s="254" t="s">
        <v>97</v>
      </c>
      <c r="C225" s="255"/>
      <c r="D225" s="131">
        <v>170</v>
      </c>
      <c r="E225" s="130">
        <v>46.22</v>
      </c>
      <c r="F225" s="136">
        <v>14.92</v>
      </c>
      <c r="G225" s="136">
        <v>14.38</v>
      </c>
      <c r="H225" s="136">
        <v>31.51</v>
      </c>
      <c r="I225" s="136">
        <v>315.14</v>
      </c>
      <c r="J225" s="136">
        <v>0.26</v>
      </c>
      <c r="K225" s="136">
        <v>0.40799999999999997</v>
      </c>
      <c r="L225" s="136">
        <v>0.93500000000000005</v>
      </c>
      <c r="M225" s="136">
        <v>0.21299999999999999</v>
      </c>
      <c r="N225" s="136">
        <v>1.36</v>
      </c>
      <c r="O225" s="136">
        <v>215.96</v>
      </c>
      <c r="P225" s="136">
        <v>414.6</v>
      </c>
      <c r="Q225" s="136">
        <v>1.2</v>
      </c>
      <c r="R225" s="136">
        <v>0.02</v>
      </c>
      <c r="S225" s="136">
        <v>93.882999999999996</v>
      </c>
      <c r="T225" s="136">
        <v>2.5329999999999999</v>
      </c>
    </row>
    <row r="226" spans="1:24" s="140" customFormat="1" ht="11.25" customHeight="1" x14ac:dyDescent="0.2">
      <c r="A226" s="200">
        <v>382</v>
      </c>
      <c r="B226" s="223" t="s">
        <v>91</v>
      </c>
      <c r="C226" s="224"/>
      <c r="D226" s="147">
        <v>200</v>
      </c>
      <c r="E226" s="148">
        <v>14.3</v>
      </c>
      <c r="F226" s="148">
        <f>3.5*D226/200</f>
        <v>3.5</v>
      </c>
      <c r="G226" s="148">
        <f>3.7*D226/200</f>
        <v>3.7</v>
      </c>
      <c r="H226" s="148">
        <f>25.5*D226/200</f>
        <v>25.5</v>
      </c>
      <c r="I226" s="148">
        <f>F226*4+G226*9+H226*4</f>
        <v>149.30000000000001</v>
      </c>
      <c r="J226" s="148">
        <f>0.06*D226/200</f>
        <v>0.06</v>
      </c>
      <c r="K226" s="148">
        <f>0.006*D226/200</f>
        <v>6.0000000000000001E-3</v>
      </c>
      <c r="L226" s="148">
        <f>1.6*D226/200</f>
        <v>1.6</v>
      </c>
      <c r="M226" s="149">
        <f>0.04*D226/200</f>
        <v>0.04</v>
      </c>
      <c r="N226" s="148">
        <f>0.4*D226/200</f>
        <v>0.4</v>
      </c>
      <c r="O226" s="148">
        <f>102.6*D226/200</f>
        <v>102.6</v>
      </c>
      <c r="P226" s="148">
        <f>178.4*D226/200</f>
        <v>178.4</v>
      </c>
      <c r="Q226" s="148">
        <f>1*D226/200</f>
        <v>1</v>
      </c>
      <c r="R226" s="149">
        <f>0.001*D226/200</f>
        <v>1E-3</v>
      </c>
      <c r="S226" s="148">
        <f>24.8*D226/200</f>
        <v>24.8</v>
      </c>
      <c r="T226" s="148">
        <f>0.48*D226/200</f>
        <v>0.48</v>
      </c>
      <c r="U226" s="150"/>
      <c r="V226" s="151"/>
      <c r="W226" s="151"/>
      <c r="X226" s="151"/>
    </row>
    <row r="227" spans="1:24" s="140" customFormat="1" ht="11.25" customHeight="1" x14ac:dyDescent="0.2">
      <c r="A227" s="153" t="s">
        <v>66</v>
      </c>
      <c r="B227" s="223" t="s">
        <v>53</v>
      </c>
      <c r="C227" s="224"/>
      <c r="D227" s="147">
        <v>40</v>
      </c>
      <c r="E227" s="148">
        <v>3.01</v>
      </c>
      <c r="F227" s="148">
        <f>1.52*D227/30</f>
        <v>2.0266666666666664</v>
      </c>
      <c r="G227" s="149">
        <f>0.16*D227/30</f>
        <v>0.21333333333333335</v>
      </c>
      <c r="H227" s="149">
        <f>9.84*D227/30</f>
        <v>13.120000000000001</v>
      </c>
      <c r="I227" s="149">
        <f>F227*4+G227*9+H227*4</f>
        <v>62.506666666666668</v>
      </c>
      <c r="J227" s="149">
        <f>0.02*D227/30</f>
        <v>2.6666666666666668E-2</v>
      </c>
      <c r="K227" s="149">
        <f>0.01*D227/30</f>
        <v>1.3333333333333334E-2</v>
      </c>
      <c r="L227" s="149">
        <f>0.44*D227/30</f>
        <v>0.58666666666666667</v>
      </c>
      <c r="M227" s="149">
        <v>0</v>
      </c>
      <c r="N227" s="149">
        <f>0.7*D227/30</f>
        <v>0.93333333333333335</v>
      </c>
      <c r="O227" s="149">
        <f>4*D227/30</f>
        <v>5.333333333333333</v>
      </c>
      <c r="P227" s="149">
        <f>13*D227/30</f>
        <v>17.333333333333332</v>
      </c>
      <c r="Q227" s="149">
        <f>0.008*D227/30</f>
        <v>1.0666666666666666E-2</v>
      </c>
      <c r="R227" s="149">
        <f>0.001*D227/30</f>
        <v>1.3333333333333333E-3</v>
      </c>
      <c r="S227" s="149">
        <v>0</v>
      </c>
      <c r="T227" s="149">
        <f>0.22*D227/30</f>
        <v>0.29333333333333333</v>
      </c>
      <c r="U227" s="150"/>
      <c r="V227" s="151"/>
      <c r="W227" s="151"/>
      <c r="X227" s="151"/>
    </row>
    <row r="228" spans="1:24" s="140" customFormat="1" ht="11.25" customHeight="1" x14ac:dyDescent="0.2">
      <c r="A228" s="63" t="s">
        <v>27</v>
      </c>
      <c r="B228" s="64"/>
      <c r="C228" s="64"/>
      <c r="D228" s="65">
        <f t="shared" ref="D228:T228" si="60">SUM(D224:D227)</f>
        <v>430</v>
      </c>
      <c r="E228" s="154">
        <f t="shared" si="60"/>
        <v>70</v>
      </c>
      <c r="F228" s="39">
        <f t="shared" si="60"/>
        <v>21.696666666666669</v>
      </c>
      <c r="G228" s="39">
        <f t="shared" si="60"/>
        <v>18.293333333333337</v>
      </c>
      <c r="H228" s="39">
        <f t="shared" si="60"/>
        <v>79.63000000000001</v>
      </c>
      <c r="I228" s="39">
        <f t="shared" si="60"/>
        <v>569.94666666666672</v>
      </c>
      <c r="J228" s="39">
        <f t="shared" si="60"/>
        <v>0.35466666666666669</v>
      </c>
      <c r="K228" s="39">
        <f t="shared" si="60"/>
        <v>0.43433333333333329</v>
      </c>
      <c r="L228" s="39">
        <f t="shared" si="60"/>
        <v>3.2816666666666672</v>
      </c>
      <c r="M228" s="39">
        <f t="shared" si="60"/>
        <v>0.26100000000000001</v>
      </c>
      <c r="N228" s="39">
        <f t="shared" si="60"/>
        <v>2.7233333333333336</v>
      </c>
      <c r="O228" s="39">
        <f t="shared" si="60"/>
        <v>375.05333333333334</v>
      </c>
      <c r="P228" s="39">
        <f t="shared" si="60"/>
        <v>646.83333333333337</v>
      </c>
      <c r="Q228" s="39">
        <f t="shared" si="60"/>
        <v>2.3706666666666667</v>
      </c>
      <c r="R228" s="39">
        <f t="shared" si="60"/>
        <v>2.4333333333333332E-2</v>
      </c>
      <c r="S228" s="39">
        <f t="shared" si="60"/>
        <v>124.34299999999999</v>
      </c>
      <c r="T228" s="39">
        <f t="shared" si="60"/>
        <v>3.3363333333333332</v>
      </c>
      <c r="U228" s="38"/>
      <c r="V228" s="142"/>
      <c r="W228" s="142"/>
      <c r="X228" s="142"/>
    </row>
    <row r="229" spans="1:24" s="140" customFormat="1" ht="11.25" customHeight="1" x14ac:dyDescent="0.2">
      <c r="A229" s="231" t="s">
        <v>62</v>
      </c>
      <c r="B229" s="232"/>
      <c r="C229" s="232"/>
      <c r="D229" s="233"/>
      <c r="E229" s="180"/>
      <c r="F229" s="155">
        <f t="shared" ref="F229:T229" si="61">F228/F249</f>
        <v>0.24107407407407411</v>
      </c>
      <c r="G229" s="44">
        <f t="shared" si="61"/>
        <v>0.19884057971014496</v>
      </c>
      <c r="H229" s="44">
        <f t="shared" si="61"/>
        <v>0.20791122715404703</v>
      </c>
      <c r="I229" s="44">
        <f t="shared" si="61"/>
        <v>0.20953921568627454</v>
      </c>
      <c r="J229" s="44">
        <f t="shared" si="61"/>
        <v>0.25333333333333335</v>
      </c>
      <c r="K229" s="44">
        <f t="shared" si="61"/>
        <v>0.2714583333333333</v>
      </c>
      <c r="L229" s="44">
        <f t="shared" si="61"/>
        <v>4.6880952380952391E-2</v>
      </c>
      <c r="M229" s="44">
        <f t="shared" si="61"/>
        <v>0.28999999999999998</v>
      </c>
      <c r="N229" s="44">
        <f t="shared" si="61"/>
        <v>0.22694444444444448</v>
      </c>
      <c r="O229" s="44">
        <f t="shared" si="61"/>
        <v>0.31254444444444446</v>
      </c>
      <c r="P229" s="44">
        <f t="shared" si="61"/>
        <v>0.53902777777777777</v>
      </c>
      <c r="Q229" s="44">
        <f t="shared" si="61"/>
        <v>0.16933333333333334</v>
      </c>
      <c r="R229" s="44">
        <f t="shared" si="61"/>
        <v>0.24333333333333332</v>
      </c>
      <c r="S229" s="44">
        <f t="shared" si="61"/>
        <v>0.4144766666666666</v>
      </c>
      <c r="T229" s="44">
        <f t="shared" si="61"/>
        <v>0.18535185185185185</v>
      </c>
      <c r="U229" s="144"/>
      <c r="V229" s="142"/>
      <c r="W229" s="142"/>
      <c r="X229" s="142"/>
    </row>
    <row r="230" spans="1:24" s="140" customFormat="1" ht="11.25" hidden="1" customHeight="1" x14ac:dyDescent="0.2">
      <c r="A230" s="179"/>
      <c r="B230" s="180"/>
      <c r="C230" s="180"/>
      <c r="D230" s="180"/>
      <c r="E230" s="171">
        <f>70-E228</f>
        <v>0</v>
      </c>
      <c r="F230" s="155"/>
      <c r="G230" s="168"/>
      <c r="H230" s="168"/>
      <c r="I230" s="168"/>
      <c r="J230" s="168"/>
      <c r="K230" s="168"/>
      <c r="L230" s="168"/>
      <c r="M230" s="168"/>
      <c r="N230" s="168"/>
      <c r="O230" s="168"/>
      <c r="P230" s="168"/>
      <c r="Q230" s="168"/>
      <c r="R230" s="168"/>
      <c r="S230" s="168"/>
      <c r="T230" s="169"/>
      <c r="U230" s="144"/>
      <c r="V230" s="142"/>
      <c r="W230" s="142"/>
      <c r="X230" s="142"/>
    </row>
    <row r="231" spans="1:24" s="140" customFormat="1" ht="11.25" customHeight="1" x14ac:dyDescent="0.2">
      <c r="A231" s="237" t="s">
        <v>28</v>
      </c>
      <c r="B231" s="238"/>
      <c r="C231" s="238"/>
      <c r="D231" s="238"/>
      <c r="E231" s="238"/>
      <c r="F231" s="238"/>
      <c r="G231" s="238"/>
      <c r="H231" s="238"/>
      <c r="I231" s="238"/>
      <c r="J231" s="238"/>
      <c r="K231" s="238"/>
      <c r="L231" s="238"/>
      <c r="M231" s="238"/>
      <c r="N231" s="238"/>
      <c r="O231" s="238"/>
      <c r="P231" s="238"/>
      <c r="Q231" s="238"/>
      <c r="R231" s="238"/>
      <c r="S231" s="238"/>
      <c r="T231" s="239"/>
      <c r="U231" s="16"/>
      <c r="V231" s="26"/>
      <c r="W231" s="26"/>
      <c r="X231" s="26"/>
    </row>
    <row r="232" spans="1:24" s="140" customFormat="1" ht="22.5" customHeight="1" x14ac:dyDescent="0.2">
      <c r="A232" s="219">
        <v>56</v>
      </c>
      <c r="B232" s="258" t="s">
        <v>112</v>
      </c>
      <c r="C232" s="258"/>
      <c r="D232" s="147">
        <v>100</v>
      </c>
      <c r="E232" s="148">
        <v>7.5</v>
      </c>
      <c r="F232" s="148">
        <f>0.9*D232/60</f>
        <v>1.5</v>
      </c>
      <c r="G232" s="146">
        <f>3.1*D232/60</f>
        <v>5.166666666666667</v>
      </c>
      <c r="H232" s="146">
        <f>5.6*D232/60</f>
        <v>9.3333333333333339</v>
      </c>
      <c r="I232" s="148">
        <f>F232*4+G232*9+H232*4</f>
        <v>89.833333333333343</v>
      </c>
      <c r="J232" s="149">
        <f>0.1*D232/60</f>
        <v>0.16666666666666666</v>
      </c>
      <c r="K232" s="149">
        <f>0.1*D232/60</f>
        <v>0.16666666666666666</v>
      </c>
      <c r="L232" s="148">
        <f>12.3*D232/60</f>
        <v>20.5</v>
      </c>
      <c r="M232" s="149">
        <f>0.02*D232/60</f>
        <v>3.3333333333333333E-2</v>
      </c>
      <c r="N232" s="149">
        <f>0.5*D232/60</f>
        <v>0.83333333333333337</v>
      </c>
      <c r="O232" s="146">
        <f>59.9*D232/60</f>
        <v>99.833333333333329</v>
      </c>
      <c r="P232" s="146">
        <f>31.3*D232/60</f>
        <v>52.166666666666664</v>
      </c>
      <c r="Q232" s="152">
        <f>0.4228*D232/60</f>
        <v>0.70466666666666666</v>
      </c>
      <c r="R232" s="149">
        <f>0.003*D232/60</f>
        <v>5.0000000000000001E-3</v>
      </c>
      <c r="S232" s="146">
        <f>16.3*D232/60</f>
        <v>27.166666666666668</v>
      </c>
      <c r="T232" s="148">
        <f>0.7*D232/60</f>
        <v>1.1666666666666667</v>
      </c>
      <c r="U232" s="150"/>
      <c r="V232" s="151"/>
      <c r="W232" s="151"/>
      <c r="X232" s="151"/>
    </row>
    <row r="233" spans="1:24" s="140" customFormat="1" ht="22.5" customHeight="1" x14ac:dyDescent="0.2">
      <c r="A233" s="133">
        <v>103</v>
      </c>
      <c r="B233" s="266" t="s">
        <v>95</v>
      </c>
      <c r="C233" s="266"/>
      <c r="D233" s="134">
        <v>250</v>
      </c>
      <c r="E233" s="128">
        <v>9.68</v>
      </c>
      <c r="F233" s="128">
        <v>12.37</v>
      </c>
      <c r="G233" s="128">
        <v>11.12</v>
      </c>
      <c r="H233" s="128">
        <v>31.5</v>
      </c>
      <c r="I233" s="128">
        <v>275.62</v>
      </c>
      <c r="J233" s="128">
        <v>0.25</v>
      </c>
      <c r="K233" s="128">
        <v>6.3E-2</v>
      </c>
      <c r="L233" s="128">
        <v>8.25</v>
      </c>
      <c r="M233" s="128">
        <v>0</v>
      </c>
      <c r="N233" s="128">
        <v>0</v>
      </c>
      <c r="O233" s="128">
        <v>49.37</v>
      </c>
      <c r="P233" s="128">
        <v>93.37</v>
      </c>
      <c r="Q233" s="128">
        <v>0</v>
      </c>
      <c r="R233" s="128">
        <v>1E-3</v>
      </c>
      <c r="S233" s="128">
        <v>27.25</v>
      </c>
      <c r="T233" s="128">
        <v>0.37</v>
      </c>
      <c r="U233" s="150"/>
      <c r="V233" s="151"/>
      <c r="W233" s="151"/>
      <c r="X233" s="151"/>
    </row>
    <row r="234" spans="1:24" s="140" customFormat="1" ht="13.5" customHeight="1" x14ac:dyDescent="0.2">
      <c r="A234" s="153">
        <v>232</v>
      </c>
      <c r="B234" s="223" t="s">
        <v>120</v>
      </c>
      <c r="C234" s="224"/>
      <c r="D234" s="147">
        <v>90</v>
      </c>
      <c r="E234" s="148">
        <v>29.68</v>
      </c>
      <c r="F234" s="148">
        <v>8.36</v>
      </c>
      <c r="G234" s="148">
        <v>5.35</v>
      </c>
      <c r="H234" s="148">
        <v>10.45</v>
      </c>
      <c r="I234" s="148">
        <v>125.95</v>
      </c>
      <c r="J234" s="148">
        <v>7.0000000000000007E-2</v>
      </c>
      <c r="K234" s="148">
        <v>7.0000000000000007E-2</v>
      </c>
      <c r="L234" s="146">
        <v>0.42</v>
      </c>
      <c r="M234" s="148">
        <v>0</v>
      </c>
      <c r="N234" s="145">
        <v>0</v>
      </c>
      <c r="O234" s="148">
        <v>39.14</v>
      </c>
      <c r="P234" s="148">
        <v>124.85</v>
      </c>
      <c r="Q234" s="148">
        <v>0</v>
      </c>
      <c r="R234" s="149">
        <f>0.009*D234/80</f>
        <v>1.0124999999999999E-2</v>
      </c>
      <c r="S234" s="148">
        <v>30</v>
      </c>
      <c r="T234" s="148">
        <v>0.74</v>
      </c>
      <c r="U234" s="11"/>
      <c r="V234" s="24"/>
      <c r="W234" s="24"/>
      <c r="X234" s="24"/>
    </row>
    <row r="235" spans="1:24" s="140" customFormat="1" ht="15" customHeight="1" x14ac:dyDescent="0.2">
      <c r="A235" s="153">
        <v>312</v>
      </c>
      <c r="B235" s="223" t="s">
        <v>47</v>
      </c>
      <c r="C235" s="224"/>
      <c r="D235" s="147">
        <v>180</v>
      </c>
      <c r="E235" s="148">
        <v>19.11</v>
      </c>
      <c r="F235" s="148">
        <f>D235*3.29/150</f>
        <v>3.9480000000000004</v>
      </c>
      <c r="G235" s="148">
        <f>D235*7.06/150</f>
        <v>8.4719999999999995</v>
      </c>
      <c r="H235" s="148">
        <f>D235*22.21/150</f>
        <v>26.652000000000001</v>
      </c>
      <c r="I235" s="148">
        <f>F235*4+G235*9+H235*4</f>
        <v>198.648</v>
      </c>
      <c r="J235" s="148">
        <f>D235*0.16/150</f>
        <v>0.192</v>
      </c>
      <c r="K235" s="148">
        <f>D235*0.13/150</f>
        <v>0.15600000000000003</v>
      </c>
      <c r="L235" s="148">
        <f>D235*0.73/150</f>
        <v>0.876</v>
      </c>
      <c r="M235" s="149">
        <f>D235*0.08/150</f>
        <v>9.6000000000000002E-2</v>
      </c>
      <c r="N235" s="145">
        <f>1.5*D235/150</f>
        <v>1.8</v>
      </c>
      <c r="O235" s="148">
        <f>D235*42.54/150</f>
        <v>51.048000000000002</v>
      </c>
      <c r="P235" s="146">
        <f>D235*97.75/150</f>
        <v>117.3</v>
      </c>
      <c r="Q235" s="149">
        <f>0.299*D235/150</f>
        <v>0.35880000000000001</v>
      </c>
      <c r="R235" s="149">
        <f>0.001*D235/150</f>
        <v>1.1999999999999999E-3</v>
      </c>
      <c r="S235" s="148">
        <f>D235*33.06/150</f>
        <v>39.672000000000004</v>
      </c>
      <c r="T235" s="148">
        <f>D235*1.19/150</f>
        <v>1.4279999999999999</v>
      </c>
      <c r="U235" s="11"/>
      <c r="V235" s="24"/>
      <c r="W235" s="24"/>
      <c r="X235" s="24"/>
    </row>
    <row r="236" spans="1:24" x14ac:dyDescent="0.2">
      <c r="A236" s="189">
        <v>699</v>
      </c>
      <c r="B236" s="251" t="s">
        <v>111</v>
      </c>
      <c r="C236" s="252"/>
      <c r="D236" s="190">
        <v>200</v>
      </c>
      <c r="E236" s="191">
        <v>7.5</v>
      </c>
      <c r="F236" s="191">
        <v>0.1</v>
      </c>
      <c r="G236" s="192">
        <v>0</v>
      </c>
      <c r="H236" s="193">
        <v>15.7</v>
      </c>
      <c r="I236" s="191">
        <v>63.2</v>
      </c>
      <c r="J236" s="192">
        <v>1.7999999999999999E-2</v>
      </c>
      <c r="K236" s="192">
        <v>1.2E-2</v>
      </c>
      <c r="L236" s="193">
        <v>8</v>
      </c>
      <c r="M236" s="192">
        <v>0</v>
      </c>
      <c r="N236" s="191">
        <v>0.2</v>
      </c>
      <c r="O236" s="191">
        <v>10.8</v>
      </c>
      <c r="P236" s="191">
        <v>1.7</v>
      </c>
      <c r="Q236" s="191">
        <v>0</v>
      </c>
      <c r="R236" s="194">
        <v>0</v>
      </c>
      <c r="S236" s="191">
        <v>5.8</v>
      </c>
      <c r="T236" s="191">
        <v>1.6</v>
      </c>
      <c r="U236"/>
      <c r="V236"/>
      <c r="W236"/>
      <c r="X236"/>
    </row>
    <row r="237" spans="1:24" s="140" customFormat="1" ht="11.25" customHeight="1" x14ac:dyDescent="0.2">
      <c r="A237" s="78" t="s">
        <v>66</v>
      </c>
      <c r="B237" s="223" t="s">
        <v>46</v>
      </c>
      <c r="C237" s="224"/>
      <c r="D237" s="147">
        <v>40</v>
      </c>
      <c r="E237" s="148">
        <v>2.04</v>
      </c>
      <c r="F237" s="148">
        <f>2.64*D237/40</f>
        <v>2.64</v>
      </c>
      <c r="G237" s="148">
        <f>0.48*D237/40</f>
        <v>0.48</v>
      </c>
      <c r="H237" s="148">
        <f>13.68*D237/40</f>
        <v>13.680000000000001</v>
      </c>
      <c r="I237" s="146">
        <f>F237*4+G237*9+H237*4</f>
        <v>69.600000000000009</v>
      </c>
      <c r="J237" s="145">
        <f>0.08*D237/40</f>
        <v>0.08</v>
      </c>
      <c r="K237" s="148">
        <f>0.04*D237/40</f>
        <v>0.04</v>
      </c>
      <c r="L237" s="147">
        <v>0</v>
      </c>
      <c r="M237" s="147">
        <v>0</v>
      </c>
      <c r="N237" s="148">
        <f>2.4*D237/40</f>
        <v>2.4</v>
      </c>
      <c r="O237" s="148">
        <f>14*D237/40</f>
        <v>14</v>
      </c>
      <c r="P237" s="148">
        <f>63.2*D237/40</f>
        <v>63.2</v>
      </c>
      <c r="Q237" s="148">
        <f>1.2*D237/40</f>
        <v>1.2</v>
      </c>
      <c r="R237" s="149">
        <f>0.001*D237/40</f>
        <v>1E-3</v>
      </c>
      <c r="S237" s="148">
        <f>9.4*D237/40</f>
        <v>9.4</v>
      </c>
      <c r="T237" s="145">
        <f>0.78*D237/40</f>
        <v>0.78</v>
      </c>
      <c r="U237" s="30"/>
      <c r="V237" s="31"/>
      <c r="W237" s="31"/>
      <c r="X237" s="31"/>
    </row>
    <row r="238" spans="1:24" x14ac:dyDescent="0.2">
      <c r="A238" s="184" t="s">
        <v>66</v>
      </c>
      <c r="B238" s="276" t="s">
        <v>110</v>
      </c>
      <c r="C238" s="252"/>
      <c r="D238" s="184">
        <v>40</v>
      </c>
      <c r="E238" s="185">
        <v>11.39</v>
      </c>
      <c r="F238" s="185">
        <v>0.65</v>
      </c>
      <c r="G238" s="186">
        <v>3.8</v>
      </c>
      <c r="H238" s="187">
        <v>17.600000000000001</v>
      </c>
      <c r="I238" s="185">
        <v>38</v>
      </c>
      <c r="J238" s="185">
        <v>2.5999999999999999E-2</v>
      </c>
      <c r="K238" s="185">
        <v>0.03</v>
      </c>
      <c r="L238" s="185">
        <v>0.13</v>
      </c>
      <c r="M238" s="185">
        <v>11.96</v>
      </c>
      <c r="N238" s="186">
        <v>0.39</v>
      </c>
      <c r="O238" s="185">
        <v>24.18</v>
      </c>
      <c r="P238" s="185">
        <v>49.4</v>
      </c>
      <c r="Q238" s="188">
        <v>0.2</v>
      </c>
      <c r="R238" s="185">
        <v>2E-3</v>
      </c>
      <c r="S238" s="185">
        <v>18.72</v>
      </c>
      <c r="T238" s="185">
        <v>0.182</v>
      </c>
      <c r="U238"/>
      <c r="V238"/>
      <c r="W238"/>
      <c r="X238"/>
    </row>
    <row r="239" spans="1:24" s="140" customFormat="1" ht="11.25" customHeight="1" x14ac:dyDescent="0.2">
      <c r="A239" s="153" t="s">
        <v>66</v>
      </c>
      <c r="B239" s="223" t="s">
        <v>53</v>
      </c>
      <c r="C239" s="224"/>
      <c r="D239" s="147">
        <v>40</v>
      </c>
      <c r="E239" s="148">
        <v>3.1</v>
      </c>
      <c r="F239" s="148">
        <f>1.52*D239/30</f>
        <v>2.0266666666666664</v>
      </c>
      <c r="G239" s="149">
        <f>0.16*D239/30</f>
        <v>0.21333333333333335</v>
      </c>
      <c r="H239" s="149">
        <f>9.84*D239/30</f>
        <v>13.120000000000001</v>
      </c>
      <c r="I239" s="149">
        <f>F239*4+G239*9+H239*4</f>
        <v>62.506666666666668</v>
      </c>
      <c r="J239" s="149">
        <f>0.02*D239/30</f>
        <v>2.6666666666666668E-2</v>
      </c>
      <c r="K239" s="149">
        <f>0.01*D239/30</f>
        <v>1.3333333333333334E-2</v>
      </c>
      <c r="L239" s="149">
        <f>0.44*D239/30</f>
        <v>0.58666666666666667</v>
      </c>
      <c r="M239" s="149">
        <v>0</v>
      </c>
      <c r="N239" s="149">
        <f>0.7*D239/30</f>
        <v>0.93333333333333335</v>
      </c>
      <c r="O239" s="149">
        <f>4*D239/30</f>
        <v>5.333333333333333</v>
      </c>
      <c r="P239" s="149">
        <f>13*D239/30</f>
        <v>17.333333333333332</v>
      </c>
      <c r="Q239" s="149">
        <f>0.008*D239/30</f>
        <v>1.0666666666666666E-2</v>
      </c>
      <c r="R239" s="149">
        <f>0.001*D239/30</f>
        <v>1.3333333333333333E-3</v>
      </c>
      <c r="S239" s="149">
        <v>0</v>
      </c>
      <c r="T239" s="149">
        <f>0.22*D239/30</f>
        <v>0.29333333333333333</v>
      </c>
      <c r="U239" s="150"/>
      <c r="V239" s="151"/>
      <c r="W239" s="151"/>
      <c r="X239" s="151"/>
    </row>
    <row r="240" spans="1:24" s="140" customFormat="1" ht="22.5" customHeight="1" x14ac:dyDescent="0.2">
      <c r="A240" s="61" t="s">
        <v>29</v>
      </c>
      <c r="B240" s="62"/>
      <c r="C240" s="62"/>
      <c r="D240" s="109">
        <f t="shared" ref="D240:I240" si="62">SUM(D232:D239)</f>
        <v>940</v>
      </c>
      <c r="E240" s="138">
        <f t="shared" si="62"/>
        <v>90</v>
      </c>
      <c r="F240" s="39">
        <f t="shared" si="62"/>
        <v>31.594666666666665</v>
      </c>
      <c r="G240" s="38">
        <f t="shared" si="62"/>
        <v>34.601999999999997</v>
      </c>
      <c r="H240" s="38">
        <f t="shared" si="62"/>
        <v>138.03533333333334</v>
      </c>
      <c r="I240" s="38">
        <f t="shared" si="62"/>
        <v>923.35800000000006</v>
      </c>
      <c r="J240" s="39">
        <f t="shared" ref="J240:T240" si="63">SUM(J232:J239)</f>
        <v>0.82933333333333326</v>
      </c>
      <c r="K240" s="39">
        <f t="shared" si="63"/>
        <v>0.55100000000000005</v>
      </c>
      <c r="L240" s="38">
        <f t="shared" si="63"/>
        <v>38.762666666666675</v>
      </c>
      <c r="M240" s="39">
        <f t="shared" si="63"/>
        <v>12.089333333333334</v>
      </c>
      <c r="N240" s="40">
        <f t="shared" si="63"/>
        <v>6.5566666666666666</v>
      </c>
      <c r="O240" s="39">
        <f t="shared" si="63"/>
        <v>293.70466666666664</v>
      </c>
      <c r="P240" s="38">
        <f t="shared" si="63"/>
        <v>519.31999999999994</v>
      </c>
      <c r="Q240" s="39">
        <f t="shared" si="63"/>
        <v>2.474133333333334</v>
      </c>
      <c r="R240" s="39">
        <f t="shared" si="63"/>
        <v>2.1658333333333335E-2</v>
      </c>
      <c r="S240" s="39">
        <f t="shared" si="63"/>
        <v>158.0086666666667</v>
      </c>
      <c r="T240" s="39">
        <f t="shared" si="63"/>
        <v>6.56</v>
      </c>
      <c r="U240" s="38"/>
      <c r="V240" s="142"/>
      <c r="W240" s="142"/>
      <c r="X240" s="142"/>
    </row>
    <row r="241" spans="1:24" s="140" customFormat="1" ht="22.5" customHeight="1" x14ac:dyDescent="0.2">
      <c r="A241" s="231" t="s">
        <v>62</v>
      </c>
      <c r="B241" s="232"/>
      <c r="C241" s="232"/>
      <c r="D241" s="233"/>
      <c r="E241" s="217"/>
      <c r="F241" s="155">
        <f>F240/F249</f>
        <v>0.35105185185185184</v>
      </c>
      <c r="G241" s="44">
        <f t="shared" ref="G241:T241" si="64">G240/G249</f>
        <v>0.37610869565217386</v>
      </c>
      <c r="H241" s="44">
        <f t="shared" si="64"/>
        <v>0.36040557006092255</v>
      </c>
      <c r="I241" s="44">
        <f t="shared" si="64"/>
        <v>0.33946985294117649</v>
      </c>
      <c r="J241" s="44">
        <f t="shared" si="64"/>
        <v>0.59238095238095234</v>
      </c>
      <c r="K241" s="44">
        <f t="shared" si="64"/>
        <v>0.34437499999999999</v>
      </c>
      <c r="L241" s="44">
        <f t="shared" si="64"/>
        <v>0.55375238095238111</v>
      </c>
      <c r="M241" s="44">
        <f t="shared" si="64"/>
        <v>13.432592592592593</v>
      </c>
      <c r="N241" s="44">
        <f t="shared" si="64"/>
        <v>0.54638888888888892</v>
      </c>
      <c r="O241" s="44">
        <f t="shared" si="64"/>
        <v>0.24475388888888885</v>
      </c>
      <c r="P241" s="44">
        <f t="shared" si="64"/>
        <v>0.43276666666666663</v>
      </c>
      <c r="Q241" s="44">
        <f t="shared" si="64"/>
        <v>0.17672380952380956</v>
      </c>
      <c r="R241" s="44">
        <f t="shared" si="64"/>
        <v>0.21658333333333335</v>
      </c>
      <c r="S241" s="44">
        <f t="shared" si="64"/>
        <v>0.52669555555555569</v>
      </c>
      <c r="T241" s="44">
        <f t="shared" si="64"/>
        <v>0.3644444444444444</v>
      </c>
      <c r="U241" s="144"/>
      <c r="V241" s="142"/>
      <c r="W241" s="142"/>
      <c r="X241" s="142"/>
    </row>
    <row r="242" spans="1:24" s="140" customFormat="1" ht="13.5" hidden="1" customHeight="1" x14ac:dyDescent="0.2">
      <c r="A242" s="216"/>
      <c r="B242" s="217"/>
      <c r="C242" s="217"/>
      <c r="D242" s="217"/>
      <c r="E242" s="171">
        <f>90-E240</f>
        <v>0</v>
      </c>
      <c r="F242" s="155"/>
      <c r="G242" s="168"/>
      <c r="H242" s="168"/>
      <c r="I242" s="168"/>
      <c r="J242" s="168"/>
      <c r="K242" s="168"/>
      <c r="L242" s="168"/>
      <c r="M242" s="168"/>
      <c r="N242" s="168"/>
      <c r="O242" s="168"/>
      <c r="P242" s="168"/>
      <c r="Q242" s="168"/>
      <c r="R242" s="168"/>
      <c r="S242" s="168"/>
      <c r="T242" s="169"/>
      <c r="U242" s="144"/>
      <c r="V242" s="142"/>
      <c r="W242" s="142"/>
      <c r="X242" s="142"/>
    </row>
    <row r="243" spans="1:24" s="140" customFormat="1" ht="15" customHeight="1" x14ac:dyDescent="0.2">
      <c r="A243" s="226" t="s">
        <v>30</v>
      </c>
      <c r="B243" s="227"/>
      <c r="C243" s="227"/>
      <c r="D243" s="227"/>
      <c r="E243" s="227"/>
      <c r="F243" s="227"/>
      <c r="G243" s="227"/>
      <c r="H243" s="227"/>
      <c r="I243" s="227"/>
      <c r="J243" s="227"/>
      <c r="K243" s="227"/>
      <c r="L243" s="227"/>
      <c r="M243" s="227"/>
      <c r="N243" s="227"/>
      <c r="O243" s="227"/>
      <c r="P243" s="227"/>
      <c r="Q243" s="227"/>
      <c r="R243" s="227"/>
      <c r="S243" s="227"/>
      <c r="T243" s="228"/>
      <c r="U243" s="11"/>
      <c r="V243" s="24"/>
      <c r="W243" s="24"/>
      <c r="X243" s="24"/>
    </row>
    <row r="244" spans="1:24" s="129" customFormat="1" ht="11.25" customHeight="1" x14ac:dyDescent="0.2">
      <c r="A244" s="135"/>
      <c r="B244" s="274"/>
      <c r="C244" s="275"/>
      <c r="D244" s="131"/>
      <c r="E244" s="130"/>
      <c r="F244" s="130"/>
      <c r="G244" s="130"/>
      <c r="H244" s="130"/>
      <c r="I244" s="130"/>
      <c r="J244" s="130"/>
      <c r="K244" s="130"/>
      <c r="L244" s="203"/>
      <c r="M244" s="130"/>
      <c r="N244" s="202"/>
      <c r="O244" s="203"/>
      <c r="P244" s="130"/>
      <c r="Q244" s="203"/>
      <c r="R244" s="131"/>
      <c r="S244" s="130"/>
      <c r="T244" s="130"/>
    </row>
    <row r="245" spans="1:24" s="129" customFormat="1" ht="11.25" customHeight="1" x14ac:dyDescent="0.2">
      <c r="A245" s="205"/>
      <c r="B245" s="229"/>
      <c r="C245" s="230"/>
      <c r="D245" s="206"/>
      <c r="E245" s="136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</row>
    <row r="246" spans="1:24" s="1" customFormat="1" ht="11.25" customHeight="1" x14ac:dyDescent="0.2">
      <c r="A246" s="61" t="s">
        <v>31</v>
      </c>
      <c r="B246" s="62"/>
      <c r="C246" s="62"/>
      <c r="D246" s="65">
        <f t="shared" ref="D246:T246" si="65">SUM(D244:D245)</f>
        <v>0</v>
      </c>
      <c r="E246" s="154">
        <f t="shared" si="65"/>
        <v>0</v>
      </c>
      <c r="F246" s="39">
        <f t="shared" si="65"/>
        <v>0</v>
      </c>
      <c r="G246" s="38">
        <f t="shared" si="65"/>
        <v>0</v>
      </c>
      <c r="H246" s="38">
        <f t="shared" si="65"/>
        <v>0</v>
      </c>
      <c r="I246" s="38">
        <f t="shared" si="65"/>
        <v>0</v>
      </c>
      <c r="J246" s="38">
        <f t="shared" si="65"/>
        <v>0</v>
      </c>
      <c r="K246" s="38">
        <f t="shared" si="65"/>
        <v>0</v>
      </c>
      <c r="L246" s="38">
        <f t="shared" si="65"/>
        <v>0</v>
      </c>
      <c r="M246" s="38">
        <f t="shared" si="65"/>
        <v>0</v>
      </c>
      <c r="N246" s="38">
        <f t="shared" si="65"/>
        <v>0</v>
      </c>
      <c r="O246" s="38">
        <f t="shared" si="65"/>
        <v>0</v>
      </c>
      <c r="P246" s="38">
        <f t="shared" si="65"/>
        <v>0</v>
      </c>
      <c r="Q246" s="38">
        <f t="shared" si="65"/>
        <v>0</v>
      </c>
      <c r="R246" s="40">
        <f t="shared" si="65"/>
        <v>0</v>
      </c>
      <c r="S246" s="38">
        <f t="shared" si="65"/>
        <v>0</v>
      </c>
      <c r="T246" s="38">
        <f t="shared" si="65"/>
        <v>0</v>
      </c>
      <c r="U246" s="38"/>
      <c r="V246" s="142"/>
      <c r="W246" s="142"/>
      <c r="X246" s="142"/>
    </row>
    <row r="247" spans="1:24" s="1" customFormat="1" ht="11.25" customHeight="1" x14ac:dyDescent="0.2">
      <c r="A247" s="231" t="s">
        <v>62</v>
      </c>
      <c r="B247" s="232"/>
      <c r="C247" s="232"/>
      <c r="D247" s="233"/>
      <c r="E247" s="218"/>
      <c r="F247" s="76">
        <f>F246/F249</f>
        <v>0</v>
      </c>
      <c r="G247" s="44">
        <f t="shared" ref="G247:T247" si="66">G246/G249</f>
        <v>0</v>
      </c>
      <c r="H247" s="44">
        <f t="shared" si="66"/>
        <v>0</v>
      </c>
      <c r="I247" s="44">
        <f t="shared" si="66"/>
        <v>0</v>
      </c>
      <c r="J247" s="44">
        <f t="shared" si="66"/>
        <v>0</v>
      </c>
      <c r="K247" s="44">
        <f t="shared" si="66"/>
        <v>0</v>
      </c>
      <c r="L247" s="44">
        <f t="shared" si="66"/>
        <v>0</v>
      </c>
      <c r="M247" s="44">
        <f t="shared" si="66"/>
        <v>0</v>
      </c>
      <c r="N247" s="44">
        <f t="shared" si="66"/>
        <v>0</v>
      </c>
      <c r="O247" s="44">
        <f t="shared" si="66"/>
        <v>0</v>
      </c>
      <c r="P247" s="44">
        <f t="shared" si="66"/>
        <v>0</v>
      </c>
      <c r="Q247" s="44">
        <f t="shared" si="66"/>
        <v>0</v>
      </c>
      <c r="R247" s="44">
        <f t="shared" si="66"/>
        <v>0</v>
      </c>
      <c r="S247" s="44">
        <f t="shared" si="66"/>
        <v>0</v>
      </c>
      <c r="T247" s="44">
        <f t="shared" si="66"/>
        <v>0</v>
      </c>
      <c r="U247" s="144"/>
      <c r="V247" s="142"/>
      <c r="W247" s="142"/>
      <c r="X247" s="142"/>
    </row>
    <row r="248" spans="1:24" s="1" customFormat="1" ht="11.25" customHeight="1" x14ac:dyDescent="0.2">
      <c r="A248" s="261" t="s">
        <v>61</v>
      </c>
      <c r="B248" s="262"/>
      <c r="C248" s="262"/>
      <c r="D248" s="263"/>
      <c r="E248" s="174"/>
      <c r="F248" s="39">
        <f t="shared" ref="F248:T248" si="67">SUM(F228,F240,F246)</f>
        <v>53.291333333333334</v>
      </c>
      <c r="G248" s="38">
        <f t="shared" si="67"/>
        <v>52.895333333333333</v>
      </c>
      <c r="H248" s="38">
        <f t="shared" si="67"/>
        <v>217.66533333333336</v>
      </c>
      <c r="I248" s="38">
        <f t="shared" si="67"/>
        <v>1493.3046666666669</v>
      </c>
      <c r="J248" s="39">
        <f t="shared" si="67"/>
        <v>1.1839999999999999</v>
      </c>
      <c r="K248" s="39">
        <f t="shared" si="67"/>
        <v>0.98533333333333339</v>
      </c>
      <c r="L248" s="38">
        <f t="shared" si="67"/>
        <v>42.044333333333341</v>
      </c>
      <c r="M248" s="39">
        <f t="shared" si="67"/>
        <v>12.350333333333333</v>
      </c>
      <c r="N248" s="39">
        <f t="shared" si="67"/>
        <v>9.2800000000000011</v>
      </c>
      <c r="O248" s="38">
        <f t="shared" si="67"/>
        <v>668.75800000000004</v>
      </c>
      <c r="P248" s="38">
        <f t="shared" si="67"/>
        <v>1166.1533333333332</v>
      </c>
      <c r="Q248" s="39">
        <f t="shared" si="67"/>
        <v>4.8448000000000011</v>
      </c>
      <c r="R248" s="40">
        <f t="shared" si="67"/>
        <v>4.5991666666666667E-2</v>
      </c>
      <c r="S248" s="39">
        <f t="shared" si="67"/>
        <v>282.35166666666669</v>
      </c>
      <c r="T248" s="39">
        <f t="shared" si="67"/>
        <v>9.8963333333333328</v>
      </c>
      <c r="U248" s="42"/>
      <c r="V248" s="142"/>
      <c r="W248" s="142"/>
      <c r="X248" s="142"/>
    </row>
    <row r="249" spans="1:24" s="1" customFormat="1" ht="11.25" customHeight="1" x14ac:dyDescent="0.2">
      <c r="A249" s="261" t="s">
        <v>63</v>
      </c>
      <c r="B249" s="262"/>
      <c r="C249" s="262"/>
      <c r="D249" s="263"/>
      <c r="E249" s="174"/>
      <c r="F249" s="148">
        <v>90</v>
      </c>
      <c r="G249" s="146">
        <v>92</v>
      </c>
      <c r="H249" s="146">
        <v>383</v>
      </c>
      <c r="I249" s="146">
        <v>2720</v>
      </c>
      <c r="J249" s="148">
        <v>1.4</v>
      </c>
      <c r="K249" s="148">
        <v>1.6</v>
      </c>
      <c r="L249" s="147">
        <v>70</v>
      </c>
      <c r="M249" s="148">
        <v>0.9</v>
      </c>
      <c r="N249" s="147">
        <v>12</v>
      </c>
      <c r="O249" s="147">
        <v>1200</v>
      </c>
      <c r="P249" s="147">
        <v>1200</v>
      </c>
      <c r="Q249" s="147">
        <v>14</v>
      </c>
      <c r="R249" s="146">
        <v>0.1</v>
      </c>
      <c r="S249" s="147">
        <v>300</v>
      </c>
      <c r="T249" s="148">
        <v>18</v>
      </c>
      <c r="U249" s="150"/>
      <c r="V249" s="151"/>
      <c r="W249" s="151"/>
      <c r="X249" s="151"/>
    </row>
    <row r="250" spans="1:24" s="1" customFormat="1" ht="11.25" customHeight="1" x14ac:dyDescent="0.2">
      <c r="A250" s="231" t="s">
        <v>62</v>
      </c>
      <c r="B250" s="232"/>
      <c r="C250" s="232"/>
      <c r="D250" s="233"/>
      <c r="E250" s="181"/>
      <c r="F250" s="76">
        <f t="shared" ref="F250:T250" si="68">F248/F249</f>
        <v>0.59212592592592594</v>
      </c>
      <c r="G250" s="44">
        <f t="shared" si="68"/>
        <v>0.57494927536231888</v>
      </c>
      <c r="H250" s="44">
        <f t="shared" si="68"/>
        <v>0.56831679721496964</v>
      </c>
      <c r="I250" s="44">
        <f t="shared" si="68"/>
        <v>0.54900906862745102</v>
      </c>
      <c r="J250" s="44">
        <f t="shared" si="68"/>
        <v>0.84571428571428575</v>
      </c>
      <c r="K250" s="44">
        <f t="shared" si="68"/>
        <v>0.61583333333333334</v>
      </c>
      <c r="L250" s="44">
        <f t="shared" si="68"/>
        <v>0.60063333333333346</v>
      </c>
      <c r="M250" s="45">
        <f t="shared" si="68"/>
        <v>13.722592592592592</v>
      </c>
      <c r="N250" s="44">
        <f t="shared" si="68"/>
        <v>0.77333333333333343</v>
      </c>
      <c r="O250" s="44">
        <f t="shared" si="68"/>
        <v>0.55729833333333334</v>
      </c>
      <c r="P250" s="44">
        <f t="shared" si="68"/>
        <v>0.97179444444444429</v>
      </c>
      <c r="Q250" s="44">
        <f t="shared" si="68"/>
        <v>0.34605714285714295</v>
      </c>
      <c r="R250" s="45">
        <f t="shared" si="68"/>
        <v>0.45991666666666664</v>
      </c>
      <c r="S250" s="44">
        <f t="shared" si="68"/>
        <v>0.9411722222222223</v>
      </c>
      <c r="T250" s="45">
        <f t="shared" si="68"/>
        <v>0.54979629629629623</v>
      </c>
      <c r="U250" s="46"/>
      <c r="V250" s="47"/>
      <c r="W250" s="47"/>
      <c r="X250" s="47"/>
    </row>
    <row r="251" spans="1:24" s="1" customFormat="1" ht="11.25" customHeight="1" x14ac:dyDescent="0.2">
      <c r="A251" s="264" t="s">
        <v>42</v>
      </c>
      <c r="B251" s="264"/>
      <c r="C251" s="264"/>
      <c r="D251" s="264"/>
      <c r="E251" s="264"/>
      <c r="F251" s="264"/>
      <c r="G251" s="264"/>
      <c r="H251" s="264"/>
      <c r="I251" s="264"/>
      <c r="J251" s="264"/>
      <c r="K251" s="264"/>
      <c r="L251" s="264"/>
      <c r="M251" s="264"/>
      <c r="N251" s="264"/>
      <c r="O251" s="264"/>
      <c r="P251" s="264"/>
      <c r="Q251" s="264"/>
      <c r="R251" s="264"/>
      <c r="S251" s="264"/>
      <c r="T251" s="264"/>
      <c r="U251" s="13"/>
      <c r="V251" s="25"/>
      <c r="W251" s="25"/>
      <c r="X251" s="25"/>
    </row>
    <row r="252" spans="1:24" s="1" customFormat="1" ht="11.25" customHeight="1" x14ac:dyDescent="0.2">
      <c r="A252" s="58" t="s">
        <v>56</v>
      </c>
      <c r="B252" s="54"/>
      <c r="C252" s="54"/>
      <c r="D252" s="2"/>
      <c r="E252" s="2"/>
      <c r="F252" s="34"/>
      <c r="G252" s="240" t="s">
        <v>35</v>
      </c>
      <c r="H252" s="240"/>
      <c r="I252" s="240"/>
      <c r="J252" s="71"/>
      <c r="K252" s="71"/>
      <c r="L252" s="247" t="s">
        <v>2</v>
      </c>
      <c r="M252" s="247"/>
      <c r="N252" s="259"/>
      <c r="O252" s="259"/>
      <c r="P252" s="259"/>
      <c r="Q252" s="259"/>
      <c r="R252" s="71"/>
      <c r="S252" s="71"/>
      <c r="T252" s="71"/>
      <c r="U252" s="14"/>
      <c r="V252" s="20"/>
      <c r="W252" s="20"/>
      <c r="X252" s="20"/>
    </row>
    <row r="253" spans="1:24" s="1" customFormat="1" ht="11.25" customHeight="1" x14ac:dyDescent="0.2">
      <c r="A253" s="54"/>
      <c r="B253" s="54"/>
      <c r="C253" s="54"/>
      <c r="D253" s="260" t="s">
        <v>3</v>
      </c>
      <c r="E253" s="260"/>
      <c r="F253" s="260"/>
      <c r="G253" s="7">
        <v>2</v>
      </c>
      <c r="H253" s="71"/>
      <c r="I253" s="2"/>
      <c r="J253" s="2"/>
      <c r="K253" s="2"/>
      <c r="L253" s="260" t="s">
        <v>4</v>
      </c>
      <c r="M253" s="260"/>
      <c r="N253" s="240" t="s">
        <v>121</v>
      </c>
      <c r="O253" s="240"/>
      <c r="P253" s="240"/>
      <c r="Q253" s="240"/>
      <c r="R253" s="240"/>
      <c r="S253" s="240"/>
      <c r="T253" s="240"/>
      <c r="U253" s="15"/>
      <c r="V253" s="21"/>
      <c r="W253" s="21"/>
      <c r="X253" s="21"/>
    </row>
    <row r="254" spans="1:24" s="1" customFormat="1" ht="21.75" customHeight="1" x14ac:dyDescent="0.2">
      <c r="A254" s="241" t="s">
        <v>5</v>
      </c>
      <c r="B254" s="243" t="s">
        <v>6</v>
      </c>
      <c r="C254" s="244"/>
      <c r="D254" s="241" t="s">
        <v>7</v>
      </c>
      <c r="E254" s="183"/>
      <c r="F254" s="248" t="s">
        <v>8</v>
      </c>
      <c r="G254" s="249"/>
      <c r="H254" s="250"/>
      <c r="I254" s="241" t="s">
        <v>9</v>
      </c>
      <c r="J254" s="248" t="s">
        <v>10</v>
      </c>
      <c r="K254" s="249"/>
      <c r="L254" s="249"/>
      <c r="M254" s="249"/>
      <c r="N254" s="250"/>
      <c r="O254" s="248" t="s">
        <v>11</v>
      </c>
      <c r="P254" s="249"/>
      <c r="Q254" s="249"/>
      <c r="R254" s="249"/>
      <c r="S254" s="249"/>
      <c r="T254" s="250"/>
      <c r="U254" s="9"/>
      <c r="V254" s="22"/>
      <c r="W254" s="22"/>
      <c r="X254" s="22"/>
    </row>
    <row r="255" spans="1:24" s="1" customFormat="1" ht="21" customHeight="1" x14ac:dyDescent="0.2">
      <c r="A255" s="242"/>
      <c r="B255" s="245"/>
      <c r="C255" s="246"/>
      <c r="D255" s="242"/>
      <c r="E255" s="176"/>
      <c r="F255" s="100" t="s">
        <v>12</v>
      </c>
      <c r="G255" s="177" t="s">
        <v>13</v>
      </c>
      <c r="H255" s="177" t="s">
        <v>14</v>
      </c>
      <c r="I255" s="242"/>
      <c r="J255" s="177" t="s">
        <v>15</v>
      </c>
      <c r="K255" s="177" t="s">
        <v>57</v>
      </c>
      <c r="L255" s="177" t="s">
        <v>16</v>
      </c>
      <c r="M255" s="177" t="s">
        <v>17</v>
      </c>
      <c r="N255" s="177" t="s">
        <v>18</v>
      </c>
      <c r="O255" s="177" t="s">
        <v>19</v>
      </c>
      <c r="P255" s="177" t="s">
        <v>20</v>
      </c>
      <c r="Q255" s="177" t="s">
        <v>58</v>
      </c>
      <c r="R255" s="177" t="s">
        <v>59</v>
      </c>
      <c r="S255" s="177" t="s">
        <v>21</v>
      </c>
      <c r="T255" s="177" t="s">
        <v>22</v>
      </c>
      <c r="U255" s="9"/>
      <c r="V255" s="22"/>
      <c r="W255" s="22"/>
      <c r="X255" s="22"/>
    </row>
    <row r="256" spans="1:24" s="1" customFormat="1" ht="11.25" customHeight="1" x14ac:dyDescent="0.2">
      <c r="A256" s="182">
        <v>1</v>
      </c>
      <c r="B256" s="256">
        <v>2</v>
      </c>
      <c r="C256" s="257"/>
      <c r="D256" s="37">
        <v>3</v>
      </c>
      <c r="E256" s="37"/>
      <c r="F256" s="101">
        <v>4</v>
      </c>
      <c r="G256" s="37">
        <v>5</v>
      </c>
      <c r="H256" s="37">
        <v>6</v>
      </c>
      <c r="I256" s="37">
        <v>7</v>
      </c>
      <c r="J256" s="37">
        <v>8</v>
      </c>
      <c r="K256" s="37">
        <v>9</v>
      </c>
      <c r="L256" s="37">
        <v>10</v>
      </c>
      <c r="M256" s="37">
        <v>11</v>
      </c>
      <c r="N256" s="37">
        <v>12</v>
      </c>
      <c r="O256" s="37">
        <v>13</v>
      </c>
      <c r="P256" s="37">
        <v>14</v>
      </c>
      <c r="Q256" s="37">
        <v>15</v>
      </c>
      <c r="R256" s="37">
        <v>16</v>
      </c>
      <c r="S256" s="37">
        <v>17</v>
      </c>
      <c r="T256" s="37">
        <v>18</v>
      </c>
      <c r="U256" s="10"/>
      <c r="V256" s="23"/>
      <c r="W256" s="23"/>
      <c r="X256" s="23"/>
    </row>
    <row r="257" spans="1:24" s="1" customFormat="1" ht="11.25" customHeight="1" x14ac:dyDescent="0.2">
      <c r="A257" s="234" t="s">
        <v>23</v>
      </c>
      <c r="B257" s="235"/>
      <c r="C257" s="235"/>
      <c r="D257" s="235"/>
      <c r="E257" s="235"/>
      <c r="F257" s="235"/>
      <c r="G257" s="235"/>
      <c r="H257" s="235"/>
      <c r="I257" s="235"/>
      <c r="J257" s="235"/>
      <c r="K257" s="235"/>
      <c r="L257" s="235"/>
      <c r="M257" s="235"/>
      <c r="N257" s="235"/>
      <c r="O257" s="235"/>
      <c r="P257" s="235"/>
      <c r="Q257" s="235"/>
      <c r="R257" s="235"/>
      <c r="S257" s="235"/>
      <c r="T257" s="236"/>
      <c r="U257" s="11"/>
      <c r="V257" s="24"/>
      <c r="W257" s="24"/>
      <c r="X257" s="24"/>
    </row>
    <row r="258" spans="1:24" s="1" customFormat="1" ht="21.75" customHeight="1" x14ac:dyDescent="0.2">
      <c r="A258" s="182">
        <v>71</v>
      </c>
      <c r="B258" s="223" t="s">
        <v>114</v>
      </c>
      <c r="C258" s="224"/>
      <c r="D258" s="145">
        <v>40</v>
      </c>
      <c r="E258" s="145">
        <v>9.2200000000000006</v>
      </c>
      <c r="F258" s="148">
        <f>0.33*D258/30</f>
        <v>0.44000000000000006</v>
      </c>
      <c r="G258" s="148">
        <f>0.08*D258/40</f>
        <v>0.08</v>
      </c>
      <c r="H258" s="148">
        <f>3.8*D258/100</f>
        <v>1.52</v>
      </c>
      <c r="I258" s="148">
        <f>F258*4+G258*9+H258*4</f>
        <v>8.56</v>
      </c>
      <c r="J258" s="149">
        <f>0.027*D258/40</f>
        <v>2.7000000000000003E-2</v>
      </c>
      <c r="K258" s="149">
        <f>0.032*D258/40</f>
        <v>3.2000000000000001E-2</v>
      </c>
      <c r="L258" s="148">
        <f>9.733*D258/40</f>
        <v>9.7330000000000005</v>
      </c>
      <c r="M258" s="148">
        <f>0.36*D258/40</f>
        <v>0.36</v>
      </c>
      <c r="N258" s="145">
        <f>1.88*D258/40</f>
        <v>1.8799999999999997</v>
      </c>
      <c r="O258" s="146">
        <f>24.4*D258/40</f>
        <v>24.4</v>
      </c>
      <c r="P258" s="146">
        <f>30.36*D258/40</f>
        <v>30.360000000000003</v>
      </c>
      <c r="Q258" s="148">
        <f>0.28*D258/40</f>
        <v>0.28000000000000003</v>
      </c>
      <c r="R258" s="149">
        <f>0.005*D258/40</f>
        <v>5.0000000000000001E-3</v>
      </c>
      <c r="S258" s="148">
        <f>10.2*D258/40</f>
        <v>10.199999999999999</v>
      </c>
      <c r="T258" s="148">
        <f>0.4*D258/40</f>
        <v>0.4</v>
      </c>
      <c r="U258" s="150"/>
      <c r="V258" s="151"/>
      <c r="W258" s="151"/>
      <c r="X258" s="151"/>
    </row>
    <row r="259" spans="1:24" s="140" customFormat="1" ht="11.25" customHeight="1" x14ac:dyDescent="0.2">
      <c r="A259" s="182">
        <v>291</v>
      </c>
      <c r="B259" s="223" t="s">
        <v>50</v>
      </c>
      <c r="C259" s="224"/>
      <c r="D259" s="147">
        <v>240</v>
      </c>
      <c r="E259" s="148">
        <v>45.63</v>
      </c>
      <c r="F259" s="148">
        <v>22.35</v>
      </c>
      <c r="G259" s="148">
        <v>26.13</v>
      </c>
      <c r="H259" s="148">
        <v>47.231999999999999</v>
      </c>
      <c r="I259" s="148">
        <v>513.57000000000005</v>
      </c>
      <c r="J259" s="148">
        <v>0.81</v>
      </c>
      <c r="K259" s="148">
        <v>0.79</v>
      </c>
      <c r="L259" s="148">
        <v>4.29</v>
      </c>
      <c r="M259" s="148">
        <v>0.46</v>
      </c>
      <c r="N259" s="145">
        <v>0</v>
      </c>
      <c r="O259" s="148">
        <v>44.29</v>
      </c>
      <c r="P259" s="148">
        <v>301.64999999999998</v>
      </c>
      <c r="Q259" s="147">
        <v>0</v>
      </c>
      <c r="R259" s="147">
        <v>0</v>
      </c>
      <c r="S259" s="148">
        <v>64.39</v>
      </c>
      <c r="T259" s="148">
        <v>2.77</v>
      </c>
      <c r="U259" s="150"/>
      <c r="V259" s="151"/>
      <c r="W259" s="151"/>
      <c r="X259" s="151"/>
    </row>
    <row r="260" spans="1:24" s="140" customFormat="1" ht="12.75" customHeight="1" x14ac:dyDescent="0.2">
      <c r="A260" s="182">
        <v>379</v>
      </c>
      <c r="B260" s="223" t="s">
        <v>52</v>
      </c>
      <c r="C260" s="224"/>
      <c r="D260" s="147">
        <v>200</v>
      </c>
      <c r="E260" s="148">
        <v>12.05</v>
      </c>
      <c r="F260" s="148">
        <v>3.17</v>
      </c>
      <c r="G260" s="148">
        <v>2.68</v>
      </c>
      <c r="H260" s="148">
        <v>15.95</v>
      </c>
      <c r="I260" s="148">
        <f>F260*4+G260*9+H260*4</f>
        <v>100.6</v>
      </c>
      <c r="J260" s="148">
        <v>0.04</v>
      </c>
      <c r="K260" s="148">
        <v>0.15</v>
      </c>
      <c r="L260" s="148">
        <v>1.3</v>
      </c>
      <c r="M260" s="149">
        <v>0.03</v>
      </c>
      <c r="N260" s="145">
        <v>0.06</v>
      </c>
      <c r="O260" s="148">
        <v>120.4</v>
      </c>
      <c r="P260" s="146">
        <v>90</v>
      </c>
      <c r="Q260" s="148">
        <v>1.1000000000000001</v>
      </c>
      <c r="R260" s="149">
        <v>0.01</v>
      </c>
      <c r="S260" s="148">
        <v>14</v>
      </c>
      <c r="T260" s="148">
        <v>0.12</v>
      </c>
      <c r="U260" s="150"/>
      <c r="V260" s="151"/>
      <c r="W260" s="151"/>
      <c r="X260" s="151"/>
    </row>
    <row r="261" spans="1:24" s="140" customFormat="1" ht="11.25" customHeight="1" x14ac:dyDescent="0.2">
      <c r="A261" s="153" t="s">
        <v>66</v>
      </c>
      <c r="B261" s="223" t="s">
        <v>53</v>
      </c>
      <c r="C261" s="224"/>
      <c r="D261" s="147">
        <v>40</v>
      </c>
      <c r="E261" s="148">
        <v>3.1</v>
      </c>
      <c r="F261" s="148">
        <f>1.52*D261/30</f>
        <v>2.0266666666666664</v>
      </c>
      <c r="G261" s="149">
        <f>0.16*D261/30</f>
        <v>0.21333333333333335</v>
      </c>
      <c r="H261" s="149">
        <f>9.84*D261/30</f>
        <v>13.120000000000001</v>
      </c>
      <c r="I261" s="149">
        <f>F261*4+G261*9+H261*4</f>
        <v>62.506666666666668</v>
      </c>
      <c r="J261" s="149">
        <f>0.02*D261/30</f>
        <v>2.6666666666666668E-2</v>
      </c>
      <c r="K261" s="149">
        <f>0.01*D261/30</f>
        <v>1.3333333333333334E-2</v>
      </c>
      <c r="L261" s="149">
        <f>0.44*D261/30</f>
        <v>0.58666666666666667</v>
      </c>
      <c r="M261" s="149">
        <v>0</v>
      </c>
      <c r="N261" s="149">
        <f>0.7*D261/30</f>
        <v>0.93333333333333335</v>
      </c>
      <c r="O261" s="149">
        <f>4*D261/30</f>
        <v>5.333333333333333</v>
      </c>
      <c r="P261" s="149">
        <f>13*D261/30</f>
        <v>17.333333333333332</v>
      </c>
      <c r="Q261" s="149">
        <f>0.008*D261/30</f>
        <v>1.0666666666666666E-2</v>
      </c>
      <c r="R261" s="149">
        <f>0.001*D261/30</f>
        <v>1.3333333333333333E-3</v>
      </c>
      <c r="S261" s="149">
        <v>0</v>
      </c>
      <c r="T261" s="149">
        <f>0.22*D261/30</f>
        <v>0.29333333333333333</v>
      </c>
      <c r="U261" s="150"/>
      <c r="V261" s="151"/>
      <c r="W261" s="151"/>
      <c r="X261" s="151"/>
    </row>
    <row r="262" spans="1:24" s="140" customFormat="1" ht="11.25" customHeight="1" x14ac:dyDescent="0.2">
      <c r="A262" s="63" t="s">
        <v>25</v>
      </c>
      <c r="B262" s="64"/>
      <c r="C262" s="64"/>
      <c r="D262" s="65">
        <f t="shared" ref="D262:I262" si="69">SUM(D258:D261)</f>
        <v>520</v>
      </c>
      <c r="E262" s="154">
        <f t="shared" si="69"/>
        <v>70</v>
      </c>
      <c r="F262" s="39">
        <f t="shared" si="69"/>
        <v>27.986666666666668</v>
      </c>
      <c r="G262" s="39">
        <f t="shared" si="69"/>
        <v>29.103333333333332</v>
      </c>
      <c r="H262" s="39">
        <f t="shared" si="69"/>
        <v>77.822000000000003</v>
      </c>
      <c r="I262" s="39">
        <f t="shared" si="69"/>
        <v>685.23666666666668</v>
      </c>
      <c r="J262" s="39">
        <f t="shared" ref="J262:T262" si="70">SUM(J258:J261)</f>
        <v>0.90366666666666673</v>
      </c>
      <c r="K262" s="39">
        <f t="shared" si="70"/>
        <v>0.98533333333333339</v>
      </c>
      <c r="L262" s="39">
        <f t="shared" si="70"/>
        <v>15.909666666666666</v>
      </c>
      <c r="M262" s="39">
        <f t="shared" si="70"/>
        <v>0.85000000000000009</v>
      </c>
      <c r="N262" s="39">
        <f t="shared" si="70"/>
        <v>2.8733333333333331</v>
      </c>
      <c r="O262" s="38">
        <f t="shared" si="70"/>
        <v>194.42333333333335</v>
      </c>
      <c r="P262" s="39">
        <f t="shared" si="70"/>
        <v>439.34333333333331</v>
      </c>
      <c r="Q262" s="39">
        <f t="shared" si="70"/>
        <v>1.3906666666666667</v>
      </c>
      <c r="R262" s="39">
        <f t="shared" si="70"/>
        <v>1.6333333333333332E-2</v>
      </c>
      <c r="S262" s="39">
        <f t="shared" si="70"/>
        <v>88.59</v>
      </c>
      <c r="T262" s="39">
        <f t="shared" si="70"/>
        <v>3.5833333333333335</v>
      </c>
      <c r="U262" s="38"/>
      <c r="V262" s="142"/>
      <c r="W262" s="142"/>
      <c r="X262" s="142"/>
    </row>
    <row r="263" spans="1:24" s="140" customFormat="1" ht="11.25" customHeight="1" x14ac:dyDescent="0.2">
      <c r="A263" s="231" t="s">
        <v>62</v>
      </c>
      <c r="B263" s="232"/>
      <c r="C263" s="232"/>
      <c r="D263" s="233"/>
      <c r="E263" s="180"/>
      <c r="F263" s="155">
        <f t="shared" ref="F263:T263" si="71">F262/F281</f>
        <v>0.310962962962963</v>
      </c>
      <c r="G263" s="44">
        <f t="shared" si="71"/>
        <v>0.3163405797101449</v>
      </c>
      <c r="H263" s="44">
        <f t="shared" si="71"/>
        <v>0.20319060052219323</v>
      </c>
      <c r="I263" s="44">
        <f t="shared" si="71"/>
        <v>0.25192524509803921</v>
      </c>
      <c r="J263" s="44">
        <f t="shared" si="71"/>
        <v>0.64547619047619054</v>
      </c>
      <c r="K263" s="44">
        <f t="shared" si="71"/>
        <v>0.61583333333333334</v>
      </c>
      <c r="L263" s="44">
        <f t="shared" si="71"/>
        <v>0.22728095238095239</v>
      </c>
      <c r="M263" s="44">
        <f t="shared" si="71"/>
        <v>0.94444444444444453</v>
      </c>
      <c r="N263" s="44">
        <f t="shared" si="71"/>
        <v>0.23944444444444443</v>
      </c>
      <c r="O263" s="44">
        <f t="shared" si="71"/>
        <v>0.16201944444444447</v>
      </c>
      <c r="P263" s="44">
        <f t="shared" si="71"/>
        <v>0.36611944444444444</v>
      </c>
      <c r="Q263" s="44">
        <f t="shared" si="71"/>
        <v>9.9333333333333343E-2</v>
      </c>
      <c r="R263" s="44">
        <f t="shared" si="71"/>
        <v>0.1633333333333333</v>
      </c>
      <c r="S263" s="44">
        <f t="shared" si="71"/>
        <v>0.29530000000000001</v>
      </c>
      <c r="T263" s="44">
        <f t="shared" si="71"/>
        <v>0.19907407407407407</v>
      </c>
      <c r="U263" s="144"/>
      <c r="V263" s="142"/>
      <c r="W263" s="142"/>
      <c r="X263" s="142"/>
    </row>
    <row r="264" spans="1:24" s="140" customFormat="1" ht="11.25" customHeight="1" x14ac:dyDescent="0.2">
      <c r="A264" s="237" t="s">
        <v>28</v>
      </c>
      <c r="B264" s="238"/>
      <c r="C264" s="238"/>
      <c r="D264" s="238"/>
      <c r="E264" s="238"/>
      <c r="F264" s="238"/>
      <c r="G264" s="238"/>
      <c r="H264" s="238"/>
      <c r="I264" s="238"/>
      <c r="J264" s="238"/>
      <c r="K264" s="238"/>
      <c r="L264" s="238"/>
      <c r="M264" s="238"/>
      <c r="N264" s="238"/>
      <c r="O264" s="238"/>
      <c r="P264" s="238"/>
      <c r="Q264" s="238"/>
      <c r="R264" s="238"/>
      <c r="S264" s="238"/>
      <c r="T264" s="239"/>
      <c r="U264" s="16"/>
      <c r="V264" s="26"/>
      <c r="W264" s="26"/>
      <c r="X264" s="26"/>
    </row>
    <row r="265" spans="1:24" s="140" customFormat="1" ht="11.25" customHeight="1" x14ac:dyDescent="0.2">
      <c r="A265" s="66">
        <v>67</v>
      </c>
      <c r="B265" s="288" t="s">
        <v>82</v>
      </c>
      <c r="C265" s="289"/>
      <c r="D265" s="98">
        <v>100</v>
      </c>
      <c r="E265" s="98">
        <v>11.06</v>
      </c>
      <c r="F265" s="108">
        <f>1.5*D265/60</f>
        <v>2.5</v>
      </c>
      <c r="G265" s="108">
        <f>3.47*D265/60</f>
        <v>5.7833333333333332</v>
      </c>
      <c r="H265" s="99">
        <v>11.28</v>
      </c>
      <c r="I265" s="148">
        <v>107.18</v>
      </c>
      <c r="J265" s="108">
        <f>0.04*D265/60</f>
        <v>6.6666666666666666E-2</v>
      </c>
      <c r="K265" s="66">
        <f>0.03*D265/60</f>
        <v>0.05</v>
      </c>
      <c r="L265" s="108">
        <f>8.6*D265/60</f>
        <v>14.333333333333334</v>
      </c>
      <c r="M265" s="108">
        <f>0.74*D265/60</f>
        <v>1.2333333333333334</v>
      </c>
      <c r="N265" s="108">
        <f>0.2*D265/60</f>
        <v>0.33333333333333331</v>
      </c>
      <c r="O265" s="99">
        <f>23.39*D265/60</f>
        <v>38.983333333333334</v>
      </c>
      <c r="P265" s="99">
        <f>34.04*D265/60</f>
        <v>56.733333333333334</v>
      </c>
      <c r="Q265" s="108">
        <f>0.01*D265/60</f>
        <v>1.6666666666666666E-2</v>
      </c>
      <c r="R265" s="108">
        <f>0.04*D265/60</f>
        <v>6.6666666666666666E-2</v>
      </c>
      <c r="S265" s="108">
        <f>15.61*D265/60</f>
        <v>26.016666666666666</v>
      </c>
      <c r="T265" s="108">
        <f>0.7*D265/60</f>
        <v>1.1666666666666667</v>
      </c>
      <c r="U265" s="16"/>
      <c r="V265" s="26"/>
      <c r="W265" s="26"/>
      <c r="X265" s="26"/>
    </row>
    <row r="266" spans="1:24" s="140" customFormat="1" ht="23.25" customHeight="1" x14ac:dyDescent="0.2">
      <c r="A266" s="182">
        <v>88</v>
      </c>
      <c r="B266" s="272" t="s">
        <v>107</v>
      </c>
      <c r="C266" s="273"/>
      <c r="D266" s="145">
        <v>250</v>
      </c>
      <c r="E266" s="145">
        <v>14.81</v>
      </c>
      <c r="F266" s="148">
        <v>2.44</v>
      </c>
      <c r="G266" s="148">
        <v>6.41</v>
      </c>
      <c r="H266" s="148">
        <v>11.11</v>
      </c>
      <c r="I266" s="148">
        <f>F266*4+G266*9+H266*4</f>
        <v>111.89</v>
      </c>
      <c r="J266" s="148">
        <v>0.03</v>
      </c>
      <c r="K266" s="148">
        <v>0.03</v>
      </c>
      <c r="L266" s="148">
        <v>11.39</v>
      </c>
      <c r="M266" s="148">
        <v>0.05</v>
      </c>
      <c r="N266" s="148">
        <v>9.9000000000000005E-2</v>
      </c>
      <c r="O266" s="148">
        <v>45.49</v>
      </c>
      <c r="P266" s="148">
        <v>29.96</v>
      </c>
      <c r="Q266" s="148">
        <v>1.44</v>
      </c>
      <c r="R266" s="149">
        <v>2E-3</v>
      </c>
      <c r="S266" s="148">
        <v>15.35</v>
      </c>
      <c r="T266" s="148">
        <v>0.49</v>
      </c>
      <c r="U266" s="11"/>
      <c r="V266" s="24"/>
      <c r="W266" s="24"/>
      <c r="X266" s="24"/>
    </row>
    <row r="267" spans="1:24" s="140" customFormat="1" ht="12.75" customHeight="1" x14ac:dyDescent="0.2">
      <c r="A267" s="182">
        <v>293</v>
      </c>
      <c r="B267" s="223" t="s">
        <v>105</v>
      </c>
      <c r="C267" s="224"/>
      <c r="D267" s="147">
        <v>120</v>
      </c>
      <c r="E267" s="148">
        <v>45.87</v>
      </c>
      <c r="F267" s="148">
        <v>33.090000000000003</v>
      </c>
      <c r="G267" s="148">
        <v>27.34</v>
      </c>
      <c r="H267" s="148">
        <v>8.82</v>
      </c>
      <c r="I267" s="148">
        <v>414.37</v>
      </c>
      <c r="J267" s="148">
        <v>0.09</v>
      </c>
      <c r="K267" s="148">
        <v>0</v>
      </c>
      <c r="L267" s="148">
        <v>4.4999999999999998E-2</v>
      </c>
      <c r="M267" s="147">
        <v>80.62</v>
      </c>
      <c r="N267" s="145">
        <v>0</v>
      </c>
      <c r="O267" s="146">
        <v>102.19</v>
      </c>
      <c r="P267" s="148">
        <v>249.19</v>
      </c>
      <c r="Q267" s="147">
        <v>0</v>
      </c>
      <c r="R267" s="147">
        <v>0</v>
      </c>
      <c r="S267" s="148">
        <v>38.07</v>
      </c>
      <c r="T267" s="148">
        <v>3.04</v>
      </c>
      <c r="U267" s="150"/>
      <c r="V267" s="151"/>
      <c r="W267" s="151"/>
      <c r="X267" s="151"/>
    </row>
    <row r="268" spans="1:24" s="140" customFormat="1" ht="24" customHeight="1" x14ac:dyDescent="0.2">
      <c r="A268" s="182">
        <v>203</v>
      </c>
      <c r="B268" s="223" t="s">
        <v>79</v>
      </c>
      <c r="C268" s="224"/>
      <c r="D268" s="147">
        <v>180</v>
      </c>
      <c r="E268" s="148">
        <v>8.3699999999999992</v>
      </c>
      <c r="F268" s="148">
        <f>5.7*D268/150</f>
        <v>6.84</v>
      </c>
      <c r="G268" s="148">
        <f>3.43*D268/150</f>
        <v>4.1159999999999997</v>
      </c>
      <c r="H268" s="148">
        <f>36.45*D268/150</f>
        <v>43.740000000000009</v>
      </c>
      <c r="I268" s="148">
        <f>F268*4+G268*9+H268*4</f>
        <v>239.36400000000003</v>
      </c>
      <c r="J268" s="148">
        <f>0.09*D268/150</f>
        <v>0.108</v>
      </c>
      <c r="K268" s="148">
        <f>0.03*D268/150</f>
        <v>3.5999999999999997E-2</v>
      </c>
      <c r="L268" s="148">
        <v>0</v>
      </c>
      <c r="M268" s="149">
        <f>0.03*D268/150</f>
        <v>3.5999999999999997E-2</v>
      </c>
      <c r="N268" s="148">
        <f>1.25*D268/150</f>
        <v>1.5</v>
      </c>
      <c r="O268" s="148">
        <f>13.28*D268/150</f>
        <v>15.936</v>
      </c>
      <c r="P268" s="148">
        <f>46.21*D268/150</f>
        <v>55.451999999999998</v>
      </c>
      <c r="Q268" s="148">
        <f>0.78*D268/150</f>
        <v>0.93600000000000005</v>
      </c>
      <c r="R268" s="149">
        <f>0.0015*D268/150</f>
        <v>1.8000000000000002E-3</v>
      </c>
      <c r="S268" s="148">
        <f>8.47*D268/150</f>
        <v>10.164000000000001</v>
      </c>
      <c r="T268" s="148">
        <f>0.86*D268/150</f>
        <v>1.032</v>
      </c>
      <c r="U268" s="150"/>
      <c r="V268" s="151"/>
      <c r="W268" s="151"/>
      <c r="X268" s="151"/>
    </row>
    <row r="269" spans="1:24" s="140" customFormat="1" ht="12" customHeight="1" x14ac:dyDescent="0.2">
      <c r="A269" s="133">
        <v>699</v>
      </c>
      <c r="B269" s="266" t="s">
        <v>100</v>
      </c>
      <c r="C269" s="266"/>
      <c r="D269" s="137">
        <v>200</v>
      </c>
      <c r="E269" s="128">
        <v>4.75</v>
      </c>
      <c r="F269" s="128">
        <v>0.1</v>
      </c>
      <c r="G269" s="128">
        <v>0</v>
      </c>
      <c r="H269" s="128">
        <v>15.7</v>
      </c>
      <c r="I269" s="128">
        <v>63.2</v>
      </c>
      <c r="J269" s="128">
        <v>1.7999999999999999E-2</v>
      </c>
      <c r="K269" s="128">
        <v>1.2E-2</v>
      </c>
      <c r="L269" s="128">
        <v>8</v>
      </c>
      <c r="M269" s="128">
        <v>0</v>
      </c>
      <c r="N269" s="128">
        <v>0.2</v>
      </c>
      <c r="O269" s="128">
        <v>10.8</v>
      </c>
      <c r="P269" s="128">
        <v>1.7</v>
      </c>
      <c r="Q269" s="128">
        <v>0</v>
      </c>
      <c r="R269" s="128">
        <v>0</v>
      </c>
      <c r="S269" s="128">
        <v>5.8</v>
      </c>
      <c r="T269" s="128">
        <v>1.6</v>
      </c>
      <c r="U269" s="150"/>
      <c r="V269" s="151"/>
      <c r="W269" s="151"/>
      <c r="X269" s="151"/>
    </row>
    <row r="270" spans="1:24" s="140" customFormat="1" ht="11.25" customHeight="1" x14ac:dyDescent="0.2">
      <c r="A270" s="78" t="s">
        <v>66</v>
      </c>
      <c r="B270" s="223" t="s">
        <v>46</v>
      </c>
      <c r="C270" s="224"/>
      <c r="D270" s="147">
        <v>40</v>
      </c>
      <c r="E270" s="148">
        <v>2.04</v>
      </c>
      <c r="F270" s="148">
        <f>2.64*D270/40</f>
        <v>2.64</v>
      </c>
      <c r="G270" s="148">
        <f>0.48*D270/40</f>
        <v>0.48</v>
      </c>
      <c r="H270" s="148">
        <f>13.68*D270/40</f>
        <v>13.680000000000001</v>
      </c>
      <c r="I270" s="146">
        <f>F270*4+G270*9+H270*4</f>
        <v>69.600000000000009</v>
      </c>
      <c r="J270" s="145">
        <f>0.08*D270/40</f>
        <v>0.08</v>
      </c>
      <c r="K270" s="148">
        <f>0.04*D270/40</f>
        <v>0.04</v>
      </c>
      <c r="L270" s="147">
        <v>0</v>
      </c>
      <c r="M270" s="147">
        <v>0</v>
      </c>
      <c r="N270" s="148">
        <f>2.4*D270/40</f>
        <v>2.4</v>
      </c>
      <c r="O270" s="148">
        <f>14*D270/40</f>
        <v>14</v>
      </c>
      <c r="P270" s="148">
        <f>63.2*D270/40</f>
        <v>63.2</v>
      </c>
      <c r="Q270" s="148">
        <f>1.2*D270/40</f>
        <v>1.2</v>
      </c>
      <c r="R270" s="149">
        <f>0.001*D270/40</f>
        <v>1E-3</v>
      </c>
      <c r="S270" s="148">
        <f>9.4*D270/40</f>
        <v>9.4</v>
      </c>
      <c r="T270" s="145">
        <f>0.78*D270/40</f>
        <v>0.78</v>
      </c>
      <c r="U270" s="30"/>
      <c r="V270" s="31"/>
      <c r="W270" s="31"/>
      <c r="X270" s="31"/>
    </row>
    <row r="271" spans="1:24" s="140" customFormat="1" ht="11.25" customHeight="1" x14ac:dyDescent="0.2">
      <c r="A271" s="153" t="s">
        <v>66</v>
      </c>
      <c r="B271" s="223" t="s">
        <v>53</v>
      </c>
      <c r="C271" s="224"/>
      <c r="D271" s="147">
        <v>40</v>
      </c>
      <c r="E271" s="148">
        <v>3.1</v>
      </c>
      <c r="F271" s="148">
        <f>1.52*D271/30</f>
        <v>2.0266666666666664</v>
      </c>
      <c r="G271" s="149">
        <f>0.16*D271/30</f>
        <v>0.21333333333333335</v>
      </c>
      <c r="H271" s="149">
        <f>9.84*D271/30</f>
        <v>13.120000000000001</v>
      </c>
      <c r="I271" s="149">
        <f>F271*4+G271*9+H271*4</f>
        <v>62.506666666666668</v>
      </c>
      <c r="J271" s="149">
        <f>0.02*D271/30</f>
        <v>2.6666666666666668E-2</v>
      </c>
      <c r="K271" s="149">
        <f>0.01*D271/30</f>
        <v>1.3333333333333334E-2</v>
      </c>
      <c r="L271" s="149">
        <f>0.44*D271/30</f>
        <v>0.58666666666666667</v>
      </c>
      <c r="M271" s="149">
        <v>0</v>
      </c>
      <c r="N271" s="149">
        <f>0.7*D271/30</f>
        <v>0.93333333333333335</v>
      </c>
      <c r="O271" s="149">
        <f>4*D271/30</f>
        <v>5.333333333333333</v>
      </c>
      <c r="P271" s="149">
        <f>13*D271/30</f>
        <v>17.333333333333332</v>
      </c>
      <c r="Q271" s="149">
        <f>0.008*D271/30</f>
        <v>1.0666666666666666E-2</v>
      </c>
      <c r="R271" s="149">
        <f>0.001*D271/30</f>
        <v>1.3333333333333333E-3</v>
      </c>
      <c r="S271" s="149">
        <v>0</v>
      </c>
      <c r="T271" s="149">
        <f>0.22*D271/30</f>
        <v>0.29333333333333333</v>
      </c>
      <c r="U271" s="150"/>
      <c r="V271" s="151"/>
      <c r="W271" s="151"/>
      <c r="X271" s="151"/>
    </row>
    <row r="272" spans="1:24" s="140" customFormat="1" ht="11.25" customHeight="1" x14ac:dyDescent="0.2">
      <c r="A272" s="61" t="s">
        <v>29</v>
      </c>
      <c r="B272" s="62"/>
      <c r="C272" s="62"/>
      <c r="D272" s="60">
        <f t="shared" ref="D272:T272" si="72">SUM(D265:D271)</f>
        <v>930</v>
      </c>
      <c r="E272" s="154">
        <f t="shared" si="72"/>
        <v>90</v>
      </c>
      <c r="F272" s="39">
        <f t="shared" si="72"/>
        <v>49.63666666666667</v>
      </c>
      <c r="G272" s="38">
        <f t="shared" si="72"/>
        <v>44.342666666666659</v>
      </c>
      <c r="H272" s="38">
        <f t="shared" si="72"/>
        <v>117.45000000000003</v>
      </c>
      <c r="I272" s="38">
        <f t="shared" si="72"/>
        <v>1068.1106666666669</v>
      </c>
      <c r="J272" s="38">
        <f t="shared" si="72"/>
        <v>0.41933333333333334</v>
      </c>
      <c r="K272" s="38">
        <f t="shared" si="72"/>
        <v>0.18133333333333335</v>
      </c>
      <c r="L272" s="38">
        <f t="shared" si="72"/>
        <v>34.355000000000004</v>
      </c>
      <c r="M272" s="38">
        <f t="shared" si="72"/>
        <v>81.939333333333337</v>
      </c>
      <c r="N272" s="38">
        <f t="shared" si="72"/>
        <v>5.4656666666666673</v>
      </c>
      <c r="O272" s="38">
        <f t="shared" si="72"/>
        <v>232.73266666666669</v>
      </c>
      <c r="P272" s="38">
        <f t="shared" si="72"/>
        <v>473.56866666666662</v>
      </c>
      <c r="Q272" s="38">
        <f t="shared" si="72"/>
        <v>3.6033333333333331</v>
      </c>
      <c r="R272" s="38">
        <f t="shared" si="72"/>
        <v>7.2800000000000004E-2</v>
      </c>
      <c r="S272" s="38">
        <f t="shared" si="72"/>
        <v>104.80066666666667</v>
      </c>
      <c r="T272" s="38">
        <f t="shared" si="72"/>
        <v>8.4019999999999992</v>
      </c>
      <c r="U272" s="38"/>
      <c r="V272" s="142"/>
      <c r="W272" s="142"/>
      <c r="X272" s="142"/>
    </row>
    <row r="273" spans="1:24" s="140" customFormat="1" ht="11.25" customHeight="1" x14ac:dyDescent="0.2">
      <c r="A273" s="231" t="s">
        <v>62</v>
      </c>
      <c r="B273" s="232"/>
      <c r="C273" s="232"/>
      <c r="D273" s="233"/>
      <c r="E273" s="180"/>
      <c r="F273" s="155">
        <f t="shared" ref="F273:T273" si="73">F272/F281</f>
        <v>0.55151851851851852</v>
      </c>
      <c r="G273" s="44">
        <f t="shared" si="73"/>
        <v>0.48198550724637673</v>
      </c>
      <c r="H273" s="44">
        <f t="shared" si="73"/>
        <v>0.30665796344647528</v>
      </c>
      <c r="I273" s="44">
        <f t="shared" si="73"/>
        <v>0.39268774509803933</v>
      </c>
      <c r="J273" s="44">
        <f t="shared" si="73"/>
        <v>0.29952380952380953</v>
      </c>
      <c r="K273" s="44">
        <f t="shared" si="73"/>
        <v>0.11333333333333334</v>
      </c>
      <c r="L273" s="44">
        <f t="shared" si="73"/>
        <v>0.49078571428571433</v>
      </c>
      <c r="M273" s="44">
        <f t="shared" si="73"/>
        <v>91.043703703703713</v>
      </c>
      <c r="N273" s="44">
        <f t="shared" si="73"/>
        <v>0.45547222222222228</v>
      </c>
      <c r="O273" s="44">
        <f t="shared" si="73"/>
        <v>0.19394388888888892</v>
      </c>
      <c r="P273" s="44">
        <f t="shared" si="73"/>
        <v>0.39464055555555549</v>
      </c>
      <c r="Q273" s="44">
        <f t="shared" si="73"/>
        <v>0.25738095238095238</v>
      </c>
      <c r="R273" s="44">
        <f t="shared" si="73"/>
        <v>0.72799999999999998</v>
      </c>
      <c r="S273" s="44">
        <f t="shared" si="73"/>
        <v>0.34933555555555557</v>
      </c>
      <c r="T273" s="44">
        <f t="shared" si="73"/>
        <v>0.46677777777777774</v>
      </c>
      <c r="U273" s="144"/>
      <c r="V273" s="142"/>
      <c r="W273" s="142"/>
      <c r="X273" s="142"/>
    </row>
    <row r="274" spans="1:24" s="140" customFormat="1" ht="11.25" hidden="1" customHeight="1" x14ac:dyDescent="0.2">
      <c r="A274" s="179"/>
      <c r="B274" s="180"/>
      <c r="C274" s="180"/>
      <c r="D274" s="180"/>
      <c r="E274" s="171">
        <f>90-E272</f>
        <v>0</v>
      </c>
      <c r="F274" s="155"/>
      <c r="G274" s="168"/>
      <c r="H274" s="168"/>
      <c r="I274" s="168"/>
      <c r="J274" s="168"/>
      <c r="K274" s="168"/>
      <c r="L274" s="168"/>
      <c r="M274" s="168"/>
      <c r="N274" s="168"/>
      <c r="O274" s="168"/>
      <c r="P274" s="168"/>
      <c r="Q274" s="168"/>
      <c r="R274" s="168"/>
      <c r="S274" s="168"/>
      <c r="T274" s="169"/>
      <c r="U274" s="144"/>
      <c r="V274" s="142"/>
      <c r="W274" s="142"/>
      <c r="X274" s="142"/>
    </row>
    <row r="275" spans="1:24" s="140" customFormat="1" ht="11.25" customHeight="1" x14ac:dyDescent="0.2">
      <c r="A275" s="234" t="s">
        <v>30</v>
      </c>
      <c r="B275" s="235"/>
      <c r="C275" s="235"/>
      <c r="D275" s="235"/>
      <c r="E275" s="235"/>
      <c r="F275" s="235"/>
      <c r="G275" s="235"/>
      <c r="H275" s="235"/>
      <c r="I275" s="235"/>
      <c r="J275" s="235"/>
      <c r="K275" s="235"/>
      <c r="L275" s="235"/>
      <c r="M275" s="235"/>
      <c r="N275" s="235"/>
      <c r="O275" s="235"/>
      <c r="P275" s="235"/>
      <c r="Q275" s="235"/>
      <c r="R275" s="235"/>
      <c r="S275" s="235"/>
      <c r="T275" s="236"/>
      <c r="U275" s="11"/>
      <c r="V275" s="24"/>
      <c r="W275" s="24"/>
      <c r="X275" s="24"/>
    </row>
    <row r="276" spans="1:24" s="129" customFormat="1" ht="11.25" customHeight="1" x14ac:dyDescent="0.2">
      <c r="A276" s="135"/>
      <c r="B276" s="253"/>
      <c r="C276" s="253"/>
      <c r="D276" s="131"/>
      <c r="E276" s="130"/>
      <c r="F276" s="130"/>
      <c r="G276" s="203"/>
      <c r="H276" s="203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</row>
    <row r="277" spans="1:24" s="140" customFormat="1" ht="12.75" customHeight="1" x14ac:dyDescent="0.2">
      <c r="A277" s="198"/>
      <c r="B277" s="258"/>
      <c r="C277" s="258"/>
      <c r="D277" s="147"/>
      <c r="E277" s="148"/>
      <c r="F277" s="148"/>
      <c r="G277" s="148"/>
      <c r="H277" s="148"/>
      <c r="I277" s="148"/>
      <c r="J277" s="148"/>
      <c r="K277" s="148"/>
      <c r="L277" s="148"/>
      <c r="M277" s="145"/>
      <c r="N277" s="148"/>
      <c r="O277" s="148"/>
      <c r="P277" s="148"/>
      <c r="Q277" s="148"/>
      <c r="R277" s="149"/>
      <c r="S277" s="148"/>
      <c r="T277" s="148"/>
      <c r="U277" s="150"/>
      <c r="V277" s="151"/>
      <c r="W277" s="151"/>
      <c r="X277" s="151"/>
    </row>
    <row r="278" spans="1:24" s="1" customFormat="1" ht="11.25" customHeight="1" x14ac:dyDescent="0.2">
      <c r="A278" s="61" t="s">
        <v>31</v>
      </c>
      <c r="B278" s="62"/>
      <c r="C278" s="62"/>
      <c r="D278" s="65">
        <f t="shared" ref="D278:I278" si="74">SUM(D276:D277)</f>
        <v>0</v>
      </c>
      <c r="E278" s="154">
        <f t="shared" si="74"/>
        <v>0</v>
      </c>
      <c r="F278" s="39">
        <f t="shared" si="74"/>
        <v>0</v>
      </c>
      <c r="G278" s="38">
        <f t="shared" si="74"/>
        <v>0</v>
      </c>
      <c r="H278" s="38">
        <f t="shared" si="74"/>
        <v>0</v>
      </c>
      <c r="I278" s="38">
        <f t="shared" si="74"/>
        <v>0</v>
      </c>
      <c r="J278" s="39">
        <f t="shared" ref="J278:T278" si="75">SUM(J276:J277)</f>
        <v>0</v>
      </c>
      <c r="K278" s="39">
        <f t="shared" si="75"/>
        <v>0</v>
      </c>
      <c r="L278" s="49">
        <f t="shared" si="75"/>
        <v>0</v>
      </c>
      <c r="M278" s="38">
        <f t="shared" si="75"/>
        <v>0</v>
      </c>
      <c r="N278" s="38">
        <f t="shared" si="75"/>
        <v>0</v>
      </c>
      <c r="O278" s="38">
        <f t="shared" si="75"/>
        <v>0</v>
      </c>
      <c r="P278" s="38">
        <f t="shared" si="75"/>
        <v>0</v>
      </c>
      <c r="Q278" s="38">
        <f t="shared" si="75"/>
        <v>0</v>
      </c>
      <c r="R278" s="39">
        <f t="shared" si="75"/>
        <v>0</v>
      </c>
      <c r="S278" s="38">
        <f t="shared" si="75"/>
        <v>0</v>
      </c>
      <c r="T278" s="39">
        <f t="shared" si="75"/>
        <v>0</v>
      </c>
      <c r="U278" s="38"/>
      <c r="V278" s="142"/>
      <c r="W278" s="142"/>
      <c r="X278" s="142"/>
    </row>
    <row r="279" spans="1:24" s="1" customFormat="1" ht="11.25" customHeight="1" x14ac:dyDescent="0.2">
      <c r="A279" s="231" t="s">
        <v>62</v>
      </c>
      <c r="B279" s="232"/>
      <c r="C279" s="232"/>
      <c r="D279" s="233"/>
      <c r="E279" s="181"/>
      <c r="F279" s="76">
        <f>F278/F281</f>
        <v>0</v>
      </c>
      <c r="G279" s="44">
        <f t="shared" ref="G279:T279" si="76">G278/G281</f>
        <v>0</v>
      </c>
      <c r="H279" s="44">
        <f t="shared" si="76"/>
        <v>0</v>
      </c>
      <c r="I279" s="44">
        <f t="shared" si="76"/>
        <v>0</v>
      </c>
      <c r="J279" s="44">
        <f t="shared" si="76"/>
        <v>0</v>
      </c>
      <c r="K279" s="44">
        <f t="shared" si="76"/>
        <v>0</v>
      </c>
      <c r="L279" s="44">
        <f t="shared" si="76"/>
        <v>0</v>
      </c>
      <c r="M279" s="44">
        <f t="shared" si="76"/>
        <v>0</v>
      </c>
      <c r="N279" s="44">
        <f t="shared" si="76"/>
        <v>0</v>
      </c>
      <c r="O279" s="44">
        <f t="shared" si="76"/>
        <v>0</v>
      </c>
      <c r="P279" s="44">
        <f t="shared" si="76"/>
        <v>0</v>
      </c>
      <c r="Q279" s="44">
        <f t="shared" si="76"/>
        <v>0</v>
      </c>
      <c r="R279" s="44">
        <f t="shared" si="76"/>
        <v>0</v>
      </c>
      <c r="S279" s="44">
        <f t="shared" si="76"/>
        <v>0</v>
      </c>
      <c r="T279" s="44">
        <f t="shared" si="76"/>
        <v>0</v>
      </c>
      <c r="U279" s="144"/>
      <c r="V279" s="142"/>
      <c r="W279" s="142"/>
      <c r="X279" s="142"/>
    </row>
    <row r="280" spans="1:24" s="1" customFormat="1" ht="11.25" customHeight="1" x14ac:dyDescent="0.2">
      <c r="A280" s="261" t="s">
        <v>61</v>
      </c>
      <c r="B280" s="262"/>
      <c r="C280" s="262"/>
      <c r="D280" s="263"/>
      <c r="E280" s="174"/>
      <c r="F280" s="39">
        <f t="shared" ref="F280:T280" si="77">SUM(F262,F272,F278)</f>
        <v>77.623333333333335</v>
      </c>
      <c r="G280" s="38">
        <f t="shared" si="77"/>
        <v>73.445999999999998</v>
      </c>
      <c r="H280" s="38">
        <f t="shared" si="77"/>
        <v>195.27200000000005</v>
      </c>
      <c r="I280" s="38">
        <f t="shared" si="77"/>
        <v>1753.3473333333336</v>
      </c>
      <c r="J280" s="39">
        <f t="shared" si="77"/>
        <v>1.323</v>
      </c>
      <c r="K280" s="39">
        <f t="shared" si="77"/>
        <v>1.1666666666666667</v>
      </c>
      <c r="L280" s="38">
        <f t="shared" si="77"/>
        <v>50.26466666666667</v>
      </c>
      <c r="M280" s="39">
        <f t="shared" si="77"/>
        <v>82.789333333333332</v>
      </c>
      <c r="N280" s="39">
        <f t="shared" si="77"/>
        <v>8.3390000000000004</v>
      </c>
      <c r="O280" s="38">
        <f t="shared" si="77"/>
        <v>427.15600000000006</v>
      </c>
      <c r="P280" s="38">
        <f t="shared" si="77"/>
        <v>912.91199999999992</v>
      </c>
      <c r="Q280" s="39">
        <f t="shared" si="77"/>
        <v>4.9939999999999998</v>
      </c>
      <c r="R280" s="40">
        <f t="shared" si="77"/>
        <v>8.9133333333333342E-2</v>
      </c>
      <c r="S280" s="39">
        <f t="shared" si="77"/>
        <v>193.39066666666668</v>
      </c>
      <c r="T280" s="39">
        <f t="shared" si="77"/>
        <v>11.985333333333333</v>
      </c>
      <c r="U280" s="42"/>
      <c r="V280" s="142"/>
      <c r="W280" s="142"/>
      <c r="X280" s="142"/>
    </row>
    <row r="281" spans="1:24" s="1" customFormat="1" ht="11.25" customHeight="1" x14ac:dyDescent="0.2">
      <c r="A281" s="261" t="s">
        <v>63</v>
      </c>
      <c r="B281" s="262"/>
      <c r="C281" s="262"/>
      <c r="D281" s="263"/>
      <c r="E281" s="174"/>
      <c r="F281" s="148">
        <v>90</v>
      </c>
      <c r="G281" s="146">
        <v>92</v>
      </c>
      <c r="H281" s="146">
        <v>383</v>
      </c>
      <c r="I281" s="146">
        <v>2720</v>
      </c>
      <c r="J281" s="148">
        <v>1.4</v>
      </c>
      <c r="K281" s="148">
        <v>1.6</v>
      </c>
      <c r="L281" s="147">
        <v>70</v>
      </c>
      <c r="M281" s="148">
        <v>0.9</v>
      </c>
      <c r="N281" s="147">
        <v>12</v>
      </c>
      <c r="O281" s="147">
        <v>1200</v>
      </c>
      <c r="P281" s="147">
        <v>1200</v>
      </c>
      <c r="Q281" s="147">
        <v>14</v>
      </c>
      <c r="R281" s="146">
        <v>0.1</v>
      </c>
      <c r="S281" s="147">
        <v>300</v>
      </c>
      <c r="T281" s="148">
        <v>18</v>
      </c>
      <c r="U281" s="150"/>
      <c r="V281" s="151"/>
      <c r="W281" s="151"/>
      <c r="X281" s="151"/>
    </row>
    <row r="282" spans="1:24" s="1" customFormat="1" ht="11.25" customHeight="1" x14ac:dyDescent="0.2">
      <c r="A282" s="231" t="s">
        <v>62</v>
      </c>
      <c r="B282" s="232"/>
      <c r="C282" s="232"/>
      <c r="D282" s="233"/>
      <c r="E282" s="181"/>
      <c r="F282" s="76">
        <f t="shared" ref="F282:T282" si="78">F280/F281</f>
        <v>0.86248148148148152</v>
      </c>
      <c r="G282" s="44">
        <f t="shared" si="78"/>
        <v>0.79832608695652174</v>
      </c>
      <c r="H282" s="44">
        <f t="shared" si="78"/>
        <v>0.50984856396866851</v>
      </c>
      <c r="I282" s="44">
        <f t="shared" si="78"/>
        <v>0.64461299019607854</v>
      </c>
      <c r="J282" s="44">
        <f t="shared" si="78"/>
        <v>0.94500000000000006</v>
      </c>
      <c r="K282" s="44">
        <f t="shared" si="78"/>
        <v>0.72916666666666663</v>
      </c>
      <c r="L282" s="44">
        <f t="shared" si="78"/>
        <v>0.71806666666666674</v>
      </c>
      <c r="M282" s="45">
        <f t="shared" si="78"/>
        <v>91.988148148148142</v>
      </c>
      <c r="N282" s="44">
        <f t="shared" si="78"/>
        <v>0.69491666666666674</v>
      </c>
      <c r="O282" s="44">
        <f t="shared" si="78"/>
        <v>0.35596333333333341</v>
      </c>
      <c r="P282" s="44">
        <f t="shared" si="78"/>
        <v>0.76075999999999988</v>
      </c>
      <c r="Q282" s="44">
        <f t="shared" si="78"/>
        <v>0.35671428571428571</v>
      </c>
      <c r="R282" s="45">
        <f t="shared" si="78"/>
        <v>0.89133333333333342</v>
      </c>
      <c r="S282" s="44">
        <f t="shared" si="78"/>
        <v>0.64463555555555563</v>
      </c>
      <c r="T282" s="45">
        <f t="shared" si="78"/>
        <v>0.66585185185185181</v>
      </c>
      <c r="U282" s="46"/>
      <c r="V282" s="47"/>
      <c r="W282" s="47"/>
      <c r="X282" s="47"/>
    </row>
    <row r="283" spans="1:24" s="1" customFormat="1" ht="11.25" customHeight="1" x14ac:dyDescent="0.2">
      <c r="A283" s="54" t="s">
        <v>86</v>
      </c>
      <c r="B283" s="54"/>
      <c r="C283" s="110"/>
      <c r="D283" s="110"/>
      <c r="E283" s="117"/>
      <c r="F283" s="102"/>
      <c r="G283" s="71"/>
      <c r="H283" s="2"/>
      <c r="I283" s="2"/>
      <c r="J283" s="71"/>
      <c r="K283" s="71"/>
      <c r="L283" s="71"/>
      <c r="M283" s="265" t="s">
        <v>65</v>
      </c>
      <c r="N283" s="265"/>
      <c r="O283" s="265"/>
      <c r="P283" s="265"/>
      <c r="Q283" s="265"/>
      <c r="R283" s="265"/>
      <c r="S283" s="265"/>
      <c r="T283" s="265"/>
      <c r="U283" s="12"/>
      <c r="V283" s="19"/>
      <c r="W283" s="19"/>
      <c r="X283" s="19"/>
    </row>
    <row r="284" spans="1:24" s="1" customFormat="1" ht="11.25" customHeight="1" x14ac:dyDescent="0.2">
      <c r="A284" s="54"/>
      <c r="B284" s="54"/>
      <c r="C284" s="110"/>
      <c r="D284" s="110"/>
      <c r="E284" s="117"/>
      <c r="F284" s="102"/>
      <c r="G284" s="71"/>
      <c r="H284" s="2"/>
      <c r="I284" s="2"/>
      <c r="J284" s="71"/>
      <c r="K284" s="71"/>
      <c r="L284" s="71"/>
      <c r="M284" s="111"/>
      <c r="N284" s="111"/>
      <c r="O284" s="111"/>
      <c r="P284" s="111"/>
      <c r="Q284" s="111"/>
      <c r="R284" s="111"/>
      <c r="S284" s="111"/>
      <c r="T284" s="111"/>
      <c r="U284" s="12"/>
      <c r="V284" s="19"/>
      <c r="W284" s="19"/>
      <c r="X284" s="19"/>
    </row>
    <row r="285" spans="1:24" s="1" customFormat="1" ht="11.25" customHeight="1" x14ac:dyDescent="0.2">
      <c r="A285" s="264" t="s">
        <v>43</v>
      </c>
      <c r="B285" s="264"/>
      <c r="C285" s="264"/>
      <c r="D285" s="264"/>
      <c r="E285" s="264"/>
      <c r="F285" s="264"/>
      <c r="G285" s="264"/>
      <c r="H285" s="264"/>
      <c r="I285" s="264"/>
      <c r="J285" s="264"/>
      <c r="K285" s="264"/>
      <c r="L285" s="264"/>
      <c r="M285" s="264"/>
      <c r="N285" s="264"/>
      <c r="O285" s="264"/>
      <c r="P285" s="264"/>
      <c r="Q285" s="264"/>
      <c r="R285" s="264"/>
      <c r="S285" s="264"/>
      <c r="T285" s="264"/>
      <c r="U285" s="13"/>
      <c r="V285" s="25"/>
      <c r="W285" s="25"/>
      <c r="X285" s="25"/>
    </row>
    <row r="286" spans="1:24" s="1" customFormat="1" ht="11.25" customHeight="1" x14ac:dyDescent="0.2">
      <c r="A286" s="58" t="s">
        <v>55</v>
      </c>
      <c r="B286" s="54"/>
      <c r="C286" s="54"/>
      <c r="D286" s="2"/>
      <c r="E286" s="2"/>
      <c r="F286" s="34"/>
      <c r="G286" s="240" t="s">
        <v>37</v>
      </c>
      <c r="H286" s="240"/>
      <c r="I286" s="240"/>
      <c r="J286" s="71"/>
      <c r="K286" s="71"/>
      <c r="L286" s="247" t="s">
        <v>2</v>
      </c>
      <c r="M286" s="247"/>
      <c r="N286" s="259"/>
      <c r="O286" s="259"/>
      <c r="P286" s="259"/>
      <c r="Q286" s="259"/>
      <c r="R286" s="71"/>
      <c r="S286" s="71"/>
      <c r="T286" s="71"/>
      <c r="U286" s="14"/>
      <c r="V286" s="20"/>
      <c r="W286" s="20"/>
      <c r="X286" s="20"/>
    </row>
    <row r="287" spans="1:24" s="1" customFormat="1" ht="11.25" customHeight="1" x14ac:dyDescent="0.2">
      <c r="A287" s="54"/>
      <c r="B287" s="54"/>
      <c r="C287" s="54"/>
      <c r="D287" s="260" t="s">
        <v>3</v>
      </c>
      <c r="E287" s="260"/>
      <c r="F287" s="260"/>
      <c r="G287" s="7">
        <v>2</v>
      </c>
      <c r="H287" s="71"/>
      <c r="I287" s="2"/>
      <c r="J287" s="2"/>
      <c r="K287" s="2"/>
      <c r="L287" s="260" t="s">
        <v>4</v>
      </c>
      <c r="M287" s="260"/>
      <c r="N287" s="240" t="s">
        <v>121</v>
      </c>
      <c r="O287" s="240"/>
      <c r="P287" s="240"/>
      <c r="Q287" s="240"/>
      <c r="R287" s="240"/>
      <c r="S287" s="240"/>
      <c r="T287" s="240"/>
      <c r="U287" s="15"/>
      <c r="V287" s="21"/>
      <c r="W287" s="21"/>
      <c r="X287" s="21"/>
    </row>
    <row r="288" spans="1:24" s="140" customFormat="1" ht="21.75" customHeight="1" x14ac:dyDescent="0.2">
      <c r="A288" s="241" t="s">
        <v>5</v>
      </c>
      <c r="B288" s="243" t="s">
        <v>6</v>
      </c>
      <c r="C288" s="244"/>
      <c r="D288" s="241" t="s">
        <v>7</v>
      </c>
      <c r="E288" s="183"/>
      <c r="F288" s="248" t="s">
        <v>8</v>
      </c>
      <c r="G288" s="249"/>
      <c r="H288" s="250"/>
      <c r="I288" s="241" t="s">
        <v>9</v>
      </c>
      <c r="J288" s="248" t="s">
        <v>10</v>
      </c>
      <c r="K288" s="249"/>
      <c r="L288" s="249"/>
      <c r="M288" s="249"/>
      <c r="N288" s="250"/>
      <c r="O288" s="248" t="s">
        <v>11</v>
      </c>
      <c r="P288" s="249"/>
      <c r="Q288" s="249"/>
      <c r="R288" s="249"/>
      <c r="S288" s="249"/>
      <c r="T288" s="250"/>
      <c r="U288" s="9"/>
      <c r="V288" s="20"/>
      <c r="W288" s="20"/>
      <c r="X288" s="20"/>
    </row>
    <row r="289" spans="1:24" s="140" customFormat="1" ht="21" customHeight="1" x14ac:dyDescent="0.2">
      <c r="A289" s="242"/>
      <c r="B289" s="245"/>
      <c r="C289" s="246"/>
      <c r="D289" s="242"/>
      <c r="E289" s="176"/>
      <c r="F289" s="100" t="s">
        <v>12</v>
      </c>
      <c r="G289" s="177" t="s">
        <v>13</v>
      </c>
      <c r="H289" s="177" t="s">
        <v>14</v>
      </c>
      <c r="I289" s="242"/>
      <c r="J289" s="177" t="s">
        <v>15</v>
      </c>
      <c r="K289" s="177" t="s">
        <v>57</v>
      </c>
      <c r="L289" s="177" t="s">
        <v>16</v>
      </c>
      <c r="M289" s="177" t="s">
        <v>17</v>
      </c>
      <c r="N289" s="177" t="s">
        <v>18</v>
      </c>
      <c r="O289" s="177" t="s">
        <v>19</v>
      </c>
      <c r="P289" s="177" t="s">
        <v>20</v>
      </c>
      <c r="Q289" s="177" t="s">
        <v>58</v>
      </c>
      <c r="R289" s="177" t="s">
        <v>59</v>
      </c>
      <c r="S289" s="177" t="s">
        <v>21</v>
      </c>
      <c r="T289" s="177" t="s">
        <v>22</v>
      </c>
      <c r="U289" s="9"/>
      <c r="V289" s="20"/>
      <c r="W289" s="20"/>
      <c r="X289" s="20"/>
    </row>
    <row r="290" spans="1:24" s="140" customFormat="1" ht="11.25" customHeight="1" x14ac:dyDescent="0.2">
      <c r="A290" s="182">
        <v>1</v>
      </c>
      <c r="B290" s="256">
        <v>2</v>
      </c>
      <c r="C290" s="257"/>
      <c r="D290" s="37">
        <v>3</v>
      </c>
      <c r="E290" s="37"/>
      <c r="F290" s="101">
        <v>4</v>
      </c>
      <c r="G290" s="37">
        <v>5</v>
      </c>
      <c r="H290" s="37">
        <v>6</v>
      </c>
      <c r="I290" s="37">
        <v>7</v>
      </c>
      <c r="J290" s="37">
        <v>8</v>
      </c>
      <c r="K290" s="37">
        <v>9</v>
      </c>
      <c r="L290" s="37">
        <v>10</v>
      </c>
      <c r="M290" s="37">
        <v>11</v>
      </c>
      <c r="N290" s="37">
        <v>12</v>
      </c>
      <c r="O290" s="37">
        <v>13</v>
      </c>
      <c r="P290" s="37">
        <v>14</v>
      </c>
      <c r="Q290" s="37">
        <v>15</v>
      </c>
      <c r="R290" s="37">
        <v>16</v>
      </c>
      <c r="S290" s="37">
        <v>17</v>
      </c>
      <c r="T290" s="37">
        <v>18</v>
      </c>
      <c r="U290" s="10"/>
      <c r="V290" s="20"/>
      <c r="W290" s="20"/>
      <c r="X290" s="20"/>
    </row>
    <row r="291" spans="1:24" s="140" customFormat="1" ht="11.25" customHeight="1" x14ac:dyDescent="0.2">
      <c r="A291" s="234" t="s">
        <v>26</v>
      </c>
      <c r="B291" s="235"/>
      <c r="C291" s="235"/>
      <c r="D291" s="235"/>
      <c r="E291" s="235"/>
      <c r="F291" s="235"/>
      <c r="G291" s="235"/>
      <c r="H291" s="235"/>
      <c r="I291" s="235"/>
      <c r="J291" s="235"/>
      <c r="K291" s="235"/>
      <c r="L291" s="235"/>
      <c r="M291" s="235"/>
      <c r="N291" s="235"/>
      <c r="O291" s="235"/>
      <c r="P291" s="235"/>
      <c r="Q291" s="235"/>
      <c r="R291" s="235"/>
      <c r="S291" s="235"/>
      <c r="T291" s="236"/>
      <c r="U291" s="11"/>
      <c r="V291" s="20"/>
      <c r="W291" s="20"/>
      <c r="X291" s="20"/>
    </row>
    <row r="292" spans="1:24" s="140" customFormat="1" ht="11.25" customHeight="1" x14ac:dyDescent="0.2">
      <c r="A292" s="66">
        <v>338</v>
      </c>
      <c r="B292" s="223" t="s">
        <v>109</v>
      </c>
      <c r="C292" s="224"/>
      <c r="D292" s="147">
        <v>100</v>
      </c>
      <c r="E292" s="148">
        <v>28.88</v>
      </c>
      <c r="F292" s="148">
        <v>0.9</v>
      </c>
      <c r="G292" s="145">
        <v>0.2</v>
      </c>
      <c r="H292" s="146">
        <v>8.1</v>
      </c>
      <c r="I292" s="148">
        <f>F292*4+G292*9+H292*4</f>
        <v>37.799999999999997</v>
      </c>
      <c r="J292" s="148">
        <v>0.04</v>
      </c>
      <c r="K292" s="148">
        <v>0.03</v>
      </c>
      <c r="L292" s="148">
        <v>60</v>
      </c>
      <c r="M292" s="148">
        <v>8.0000000000000002E-3</v>
      </c>
      <c r="N292" s="145">
        <v>0.2</v>
      </c>
      <c r="O292" s="148">
        <v>34</v>
      </c>
      <c r="P292" s="148">
        <v>23</v>
      </c>
      <c r="Q292" s="149">
        <v>0.2</v>
      </c>
      <c r="R292" s="148">
        <v>2E-3</v>
      </c>
      <c r="S292" s="148">
        <v>15</v>
      </c>
      <c r="T292" s="148">
        <v>0.3</v>
      </c>
      <c r="U292" s="11"/>
      <c r="V292" s="24"/>
      <c r="W292" s="24"/>
      <c r="X292" s="24"/>
    </row>
    <row r="293" spans="1:24" s="140" customFormat="1" ht="11.25" customHeight="1" x14ac:dyDescent="0.2">
      <c r="A293" s="121">
        <v>15</v>
      </c>
      <c r="B293" s="223" t="s">
        <v>77</v>
      </c>
      <c r="C293" s="224"/>
      <c r="D293" s="147">
        <v>25</v>
      </c>
      <c r="E293" s="148">
        <v>16</v>
      </c>
      <c r="F293" s="148">
        <f>2.32*D293/10</f>
        <v>5.7999999999999989</v>
      </c>
      <c r="G293" s="148">
        <f>3.4*D293/10</f>
        <v>8.5</v>
      </c>
      <c r="H293" s="148">
        <f>0.01*D293/10</f>
        <v>2.5000000000000001E-2</v>
      </c>
      <c r="I293" s="148">
        <f>F293*4+G293*9+H293*4</f>
        <v>99.799999999999983</v>
      </c>
      <c r="J293" s="148">
        <f>0.004*D293/10</f>
        <v>0.01</v>
      </c>
      <c r="K293" s="148">
        <f>0.03*D293/10</f>
        <v>7.4999999999999997E-2</v>
      </c>
      <c r="L293" s="148">
        <f>0.07*D293/10</f>
        <v>0.17500000000000002</v>
      </c>
      <c r="M293" s="149">
        <f>0.023*D293/10</f>
        <v>5.7499999999999996E-2</v>
      </c>
      <c r="N293" s="148">
        <f>0.05*D293/10</f>
        <v>0.125</v>
      </c>
      <c r="O293" s="148">
        <f>88*D293/10</f>
        <v>220</v>
      </c>
      <c r="P293" s="148">
        <f>50*D293/10</f>
        <v>125</v>
      </c>
      <c r="Q293" s="148">
        <f>0.4*D293/10</f>
        <v>1</v>
      </c>
      <c r="R293" s="149">
        <f>0.02*D293/10</f>
        <v>0.05</v>
      </c>
      <c r="S293" s="148">
        <f>3.5*D293/10</f>
        <v>8.75</v>
      </c>
      <c r="T293" s="148">
        <f>0.13*D293/10</f>
        <v>0.32500000000000001</v>
      </c>
      <c r="U293" s="11"/>
      <c r="V293" s="24"/>
      <c r="W293" s="24"/>
      <c r="X293" s="24"/>
    </row>
    <row r="294" spans="1:24" s="140" customFormat="1" ht="21.75" customHeight="1" x14ac:dyDescent="0.2">
      <c r="A294" s="153">
        <v>173</v>
      </c>
      <c r="B294" s="223" t="s">
        <v>113</v>
      </c>
      <c r="C294" s="224"/>
      <c r="D294" s="147">
        <v>250</v>
      </c>
      <c r="E294" s="148">
        <v>18.41</v>
      </c>
      <c r="F294" s="148">
        <f>7.3*D294/200</f>
        <v>9.125</v>
      </c>
      <c r="G294" s="148">
        <f>12.5*D294/200</f>
        <v>15.625</v>
      </c>
      <c r="H294" s="148">
        <f>54.3*D294/200</f>
        <v>67.875</v>
      </c>
      <c r="I294" s="148">
        <f>F294*4+G294*9+H294*4</f>
        <v>448.625</v>
      </c>
      <c r="J294" s="148">
        <f>0.14*D294/200</f>
        <v>0.17499999999999999</v>
      </c>
      <c r="K294" s="148">
        <f>0.18*D294/200</f>
        <v>0.22500000000000001</v>
      </c>
      <c r="L294" s="148">
        <f>3.35*D294/200</f>
        <v>4.1875</v>
      </c>
      <c r="M294" s="149">
        <f>0.037*D294/200</f>
        <v>4.6249999999999999E-2</v>
      </c>
      <c r="N294" s="148">
        <f>1.3*D294/200</f>
        <v>1.625</v>
      </c>
      <c r="O294" s="146">
        <f>147.6*D294/200</f>
        <v>184.5</v>
      </c>
      <c r="P294" s="146">
        <f>198.6*D294/200</f>
        <v>248.25</v>
      </c>
      <c r="Q294" s="147">
        <v>0</v>
      </c>
      <c r="R294" s="146">
        <v>0</v>
      </c>
      <c r="S294" s="146">
        <f>57.8*D294/200</f>
        <v>72.25</v>
      </c>
      <c r="T294" s="148">
        <f>1.3*D294/200</f>
        <v>1.625</v>
      </c>
      <c r="U294" s="150"/>
      <c r="V294" s="151"/>
      <c r="W294" s="151"/>
      <c r="X294" s="151"/>
    </row>
    <row r="295" spans="1:24" s="140" customFormat="1" ht="12.75" customHeight="1" x14ac:dyDescent="0.2">
      <c r="A295" s="182">
        <v>377</v>
      </c>
      <c r="B295" s="258" t="s">
        <v>45</v>
      </c>
      <c r="C295" s="258"/>
      <c r="D295" s="147">
        <v>200</v>
      </c>
      <c r="E295" s="148">
        <v>3.61</v>
      </c>
      <c r="F295" s="148">
        <v>0.26</v>
      </c>
      <c r="G295" s="148">
        <v>0.06</v>
      </c>
      <c r="H295" s="148">
        <v>15.22</v>
      </c>
      <c r="I295" s="148">
        <f>F295*4+G295*9+H295*4</f>
        <v>62.46</v>
      </c>
      <c r="J295" s="148"/>
      <c r="K295" s="148">
        <v>0.01</v>
      </c>
      <c r="L295" s="148">
        <v>2.9</v>
      </c>
      <c r="M295" s="145">
        <v>0</v>
      </c>
      <c r="N295" s="148">
        <v>0.06</v>
      </c>
      <c r="O295" s="148">
        <v>8.0500000000000007</v>
      </c>
      <c r="P295" s="148">
        <v>9.7799999999999994</v>
      </c>
      <c r="Q295" s="148">
        <v>1.7000000000000001E-2</v>
      </c>
      <c r="R295" s="149">
        <v>0</v>
      </c>
      <c r="S295" s="148">
        <v>5.24</v>
      </c>
      <c r="T295" s="148">
        <v>0.87</v>
      </c>
      <c r="U295" s="150"/>
      <c r="V295" s="151"/>
      <c r="W295" s="151"/>
      <c r="X295" s="151"/>
    </row>
    <row r="296" spans="1:24" s="140" customFormat="1" ht="13.5" customHeight="1" x14ac:dyDescent="0.2">
      <c r="A296" s="153" t="s">
        <v>66</v>
      </c>
      <c r="B296" s="223" t="s">
        <v>53</v>
      </c>
      <c r="C296" s="224"/>
      <c r="D296" s="147">
        <v>40</v>
      </c>
      <c r="E296" s="148">
        <v>3.1</v>
      </c>
      <c r="F296" s="148">
        <f>1.52*D296/30</f>
        <v>2.0266666666666664</v>
      </c>
      <c r="G296" s="149">
        <f>0.16*D296/30</f>
        <v>0.21333333333333335</v>
      </c>
      <c r="H296" s="149">
        <f>9.84*D296/30</f>
        <v>13.120000000000001</v>
      </c>
      <c r="I296" s="149">
        <f>F296*4+G296*9+H296*4</f>
        <v>62.506666666666668</v>
      </c>
      <c r="J296" s="149">
        <f>0.02*D296/30</f>
        <v>2.6666666666666668E-2</v>
      </c>
      <c r="K296" s="149">
        <f>0.01*D296/30</f>
        <v>1.3333333333333334E-2</v>
      </c>
      <c r="L296" s="149">
        <f>0.44*D296/30</f>
        <v>0.58666666666666667</v>
      </c>
      <c r="M296" s="149">
        <v>0</v>
      </c>
      <c r="N296" s="149">
        <f>0.7*D296/30</f>
        <v>0.93333333333333335</v>
      </c>
      <c r="O296" s="149">
        <f>4*D296/30</f>
        <v>5.333333333333333</v>
      </c>
      <c r="P296" s="149">
        <f>13*D296/30</f>
        <v>17.333333333333332</v>
      </c>
      <c r="Q296" s="149">
        <f>0.008*D296/30</f>
        <v>1.0666666666666666E-2</v>
      </c>
      <c r="R296" s="149">
        <f>0.001*D296/30</f>
        <v>1.3333333333333333E-3</v>
      </c>
      <c r="S296" s="149">
        <v>0</v>
      </c>
      <c r="T296" s="149">
        <f>0.22*D296/30</f>
        <v>0.29333333333333333</v>
      </c>
      <c r="U296" s="150"/>
      <c r="V296" s="151"/>
      <c r="W296" s="151"/>
      <c r="X296" s="151"/>
    </row>
    <row r="297" spans="1:24" s="1" customFormat="1" ht="11.25" customHeight="1" x14ac:dyDescent="0.2">
      <c r="A297" s="61" t="s">
        <v>27</v>
      </c>
      <c r="B297" s="62"/>
      <c r="C297" s="62"/>
      <c r="D297" s="65">
        <f>SUM(D292:D296)</f>
        <v>615</v>
      </c>
      <c r="E297" s="154">
        <f>SUM(E292:E296)</f>
        <v>69.999999999999986</v>
      </c>
      <c r="F297" s="39">
        <f t="shared" ref="F297:T297" si="79">SUM(F292:F296)</f>
        <v>18.111666666666668</v>
      </c>
      <c r="G297" s="38">
        <f t="shared" si="79"/>
        <v>24.598333333333333</v>
      </c>
      <c r="H297" s="38">
        <f t="shared" si="79"/>
        <v>104.34</v>
      </c>
      <c r="I297" s="38">
        <f t="shared" si="79"/>
        <v>711.19166666666661</v>
      </c>
      <c r="J297" s="39">
        <f t="shared" si="79"/>
        <v>0.25166666666666665</v>
      </c>
      <c r="K297" s="39">
        <f t="shared" si="79"/>
        <v>0.35333333333333333</v>
      </c>
      <c r="L297" s="39">
        <f t="shared" si="79"/>
        <v>67.849166666666676</v>
      </c>
      <c r="M297" s="39">
        <f t="shared" si="79"/>
        <v>0.11175</v>
      </c>
      <c r="N297" s="39">
        <f t="shared" si="79"/>
        <v>2.9433333333333334</v>
      </c>
      <c r="O297" s="39">
        <f t="shared" si="79"/>
        <v>451.88333333333333</v>
      </c>
      <c r="P297" s="39">
        <f t="shared" si="79"/>
        <v>423.36333333333329</v>
      </c>
      <c r="Q297" s="39">
        <f t="shared" si="79"/>
        <v>1.2276666666666665</v>
      </c>
      <c r="R297" s="40">
        <f t="shared" si="79"/>
        <v>5.3333333333333337E-2</v>
      </c>
      <c r="S297" s="39">
        <f t="shared" si="79"/>
        <v>101.24</v>
      </c>
      <c r="T297" s="39">
        <f t="shared" si="79"/>
        <v>3.4133333333333336</v>
      </c>
      <c r="U297" s="38"/>
      <c r="V297" s="142"/>
      <c r="W297" s="142"/>
      <c r="X297" s="142"/>
    </row>
    <row r="298" spans="1:24" s="1" customFormat="1" ht="11.25" customHeight="1" x14ac:dyDescent="0.2">
      <c r="A298" s="231" t="s">
        <v>62</v>
      </c>
      <c r="B298" s="232"/>
      <c r="C298" s="232"/>
      <c r="D298" s="233"/>
      <c r="E298" s="180"/>
      <c r="F298" s="155">
        <f t="shared" ref="F298:T298" si="80">F297/F317</f>
        <v>0.20124074074074075</v>
      </c>
      <c r="G298" s="44">
        <f t="shared" si="80"/>
        <v>0.2673731884057971</v>
      </c>
      <c r="H298" s="44">
        <f t="shared" si="80"/>
        <v>0.27242819843342037</v>
      </c>
      <c r="I298" s="44">
        <f t="shared" si="80"/>
        <v>0.26146752450980387</v>
      </c>
      <c r="J298" s="44">
        <f t="shared" si="80"/>
        <v>0.17976190476190476</v>
      </c>
      <c r="K298" s="44">
        <f t="shared" si="80"/>
        <v>0.22083333333333333</v>
      </c>
      <c r="L298" s="44">
        <f t="shared" si="80"/>
        <v>0.9692738095238097</v>
      </c>
      <c r="M298" s="44">
        <f t="shared" si="80"/>
        <v>0.12416666666666666</v>
      </c>
      <c r="N298" s="44">
        <f t="shared" si="80"/>
        <v>0.24527777777777779</v>
      </c>
      <c r="O298" s="44">
        <f t="shared" si="80"/>
        <v>0.37656944444444446</v>
      </c>
      <c r="P298" s="44">
        <f t="shared" si="80"/>
        <v>0.35280277777777774</v>
      </c>
      <c r="Q298" s="44">
        <f t="shared" si="80"/>
        <v>8.769047619047618E-2</v>
      </c>
      <c r="R298" s="44">
        <f t="shared" si="80"/>
        <v>0.53333333333333333</v>
      </c>
      <c r="S298" s="44">
        <f t="shared" si="80"/>
        <v>0.33746666666666664</v>
      </c>
      <c r="T298" s="44">
        <f t="shared" si="80"/>
        <v>0.18962962962962965</v>
      </c>
      <c r="U298" s="144"/>
      <c r="V298" s="142"/>
      <c r="W298" s="142"/>
      <c r="X298" s="142"/>
    </row>
    <row r="299" spans="1:24" s="1" customFormat="1" ht="11.25" hidden="1" customHeight="1" x14ac:dyDescent="0.2">
      <c r="A299" s="179"/>
      <c r="B299" s="180"/>
      <c r="C299" s="180"/>
      <c r="D299" s="180"/>
      <c r="E299" s="171">
        <f>70-E297</f>
        <v>0</v>
      </c>
      <c r="F299" s="155"/>
      <c r="G299" s="168"/>
      <c r="H299" s="168"/>
      <c r="I299" s="168"/>
      <c r="J299" s="168"/>
      <c r="K299" s="168"/>
      <c r="L299" s="168"/>
      <c r="M299" s="168"/>
      <c r="N299" s="168"/>
      <c r="O299" s="168"/>
      <c r="P299" s="168"/>
      <c r="Q299" s="168"/>
      <c r="R299" s="168"/>
      <c r="S299" s="168"/>
      <c r="T299" s="169"/>
      <c r="U299" s="144"/>
      <c r="V299" s="142"/>
      <c r="W299" s="142"/>
      <c r="X299" s="142"/>
    </row>
    <row r="300" spans="1:24" s="1" customFormat="1" ht="11.25" customHeight="1" x14ac:dyDescent="0.2">
      <c r="A300" s="234" t="s">
        <v>28</v>
      </c>
      <c r="B300" s="235"/>
      <c r="C300" s="235"/>
      <c r="D300" s="235"/>
      <c r="E300" s="235"/>
      <c r="F300" s="235"/>
      <c r="G300" s="235"/>
      <c r="H300" s="235"/>
      <c r="I300" s="235"/>
      <c r="J300" s="235"/>
      <c r="K300" s="235"/>
      <c r="L300" s="235"/>
      <c r="M300" s="235"/>
      <c r="N300" s="235"/>
      <c r="O300" s="235"/>
      <c r="P300" s="235"/>
      <c r="Q300" s="235"/>
      <c r="R300" s="235"/>
      <c r="S300" s="235"/>
      <c r="T300" s="236"/>
      <c r="U300" s="11"/>
      <c r="V300" s="24"/>
      <c r="W300" s="24"/>
      <c r="X300" s="24"/>
    </row>
    <row r="301" spans="1:24" s="1" customFormat="1" ht="21.75" customHeight="1" x14ac:dyDescent="0.2">
      <c r="A301" s="198">
        <v>49</v>
      </c>
      <c r="B301" s="223" t="s">
        <v>116</v>
      </c>
      <c r="C301" s="224"/>
      <c r="D301" s="145">
        <v>100</v>
      </c>
      <c r="E301" s="145">
        <v>9.01</v>
      </c>
      <c r="F301" s="148">
        <v>1.56</v>
      </c>
      <c r="G301" s="148">
        <v>12.03</v>
      </c>
      <c r="H301" s="148">
        <v>8.7799999999999994</v>
      </c>
      <c r="I301" s="148">
        <v>149.69999999999999</v>
      </c>
      <c r="J301" s="149">
        <v>0.05</v>
      </c>
      <c r="K301" s="149">
        <v>0.05</v>
      </c>
      <c r="L301" s="148">
        <v>20.66</v>
      </c>
      <c r="M301" s="148">
        <v>2E-3</v>
      </c>
      <c r="N301" s="145">
        <v>2.5</v>
      </c>
      <c r="O301" s="146">
        <v>32.83</v>
      </c>
      <c r="P301" s="146">
        <v>33.85</v>
      </c>
      <c r="Q301" s="148">
        <v>0.5</v>
      </c>
      <c r="R301" s="149">
        <v>2E-3</v>
      </c>
      <c r="S301" s="148">
        <v>16.63</v>
      </c>
      <c r="T301" s="148">
        <v>0.56000000000000005</v>
      </c>
      <c r="U301" s="150"/>
      <c r="V301" s="151"/>
      <c r="W301" s="151"/>
      <c r="X301" s="151"/>
    </row>
    <row r="302" spans="1:24" s="140" customFormat="1" ht="12.75" customHeight="1" x14ac:dyDescent="0.2">
      <c r="A302" s="182">
        <v>84</v>
      </c>
      <c r="B302" s="223" t="s">
        <v>78</v>
      </c>
      <c r="C302" s="224"/>
      <c r="D302" s="145">
        <v>250</v>
      </c>
      <c r="E302" s="148">
        <v>13.61</v>
      </c>
      <c r="F302" s="148">
        <f>1.77*D302/200</f>
        <v>2.2124999999999999</v>
      </c>
      <c r="G302" s="148">
        <f>2.65*D302/200</f>
        <v>3.3125</v>
      </c>
      <c r="H302" s="148">
        <f>12.74*D302/200</f>
        <v>15.925000000000001</v>
      </c>
      <c r="I302" s="148">
        <f t="shared" ref="I302:I307" si="81">F302*4+G302*9+H302*4</f>
        <v>102.36250000000001</v>
      </c>
      <c r="J302" s="149">
        <f>0.05*D302/200</f>
        <v>6.25E-2</v>
      </c>
      <c r="K302" s="149">
        <f>0.05*D302/200</f>
        <v>6.25E-2</v>
      </c>
      <c r="L302" s="148">
        <f>19*D302/200</f>
        <v>23.75</v>
      </c>
      <c r="M302" s="148">
        <f>0.74*D302/200</f>
        <v>0.92500000000000004</v>
      </c>
      <c r="N302" s="145">
        <f>0.1*D302/200</f>
        <v>0.125</v>
      </c>
      <c r="O302" s="148">
        <f>43.11*D302/200</f>
        <v>53.887500000000003</v>
      </c>
      <c r="P302" s="148">
        <f>48.75*D302/200</f>
        <v>60.9375</v>
      </c>
      <c r="Q302" s="149">
        <f>1.3*D302/200</f>
        <v>1.625</v>
      </c>
      <c r="R302" s="149">
        <f>0.0032*D302/200</f>
        <v>4.0000000000000001E-3</v>
      </c>
      <c r="S302" s="148">
        <f>22.44*D302/200</f>
        <v>28.05</v>
      </c>
      <c r="T302" s="148">
        <f>0.8*D302/200</f>
        <v>1</v>
      </c>
      <c r="U302" s="150"/>
      <c r="V302" s="151"/>
      <c r="W302" s="151"/>
      <c r="X302" s="151"/>
    </row>
    <row r="303" spans="1:24" s="140" customFormat="1" ht="12.75" customHeight="1" x14ac:dyDescent="0.2">
      <c r="A303" s="198">
        <v>295</v>
      </c>
      <c r="B303" s="267" t="s">
        <v>81</v>
      </c>
      <c r="C303" s="268"/>
      <c r="D303" s="145">
        <v>100</v>
      </c>
      <c r="E303" s="145">
        <v>44.7</v>
      </c>
      <c r="F303" s="148">
        <v>13.71</v>
      </c>
      <c r="G303" s="146">
        <v>5.22</v>
      </c>
      <c r="H303" s="146">
        <v>9.14</v>
      </c>
      <c r="I303" s="148">
        <v>138.41999999999999</v>
      </c>
      <c r="J303" s="145">
        <v>0.81</v>
      </c>
      <c r="K303" s="148">
        <v>7.1999999999999995E-2</v>
      </c>
      <c r="L303" s="148">
        <v>0.21</v>
      </c>
      <c r="M303" s="145">
        <f>0.001*D303/100</f>
        <v>1E-3</v>
      </c>
      <c r="N303" s="145">
        <v>6.7000000000000004E-2</v>
      </c>
      <c r="O303" s="146">
        <v>12.62</v>
      </c>
      <c r="P303" s="146">
        <v>84.58</v>
      </c>
      <c r="Q303" s="148">
        <v>1.0529999999999999</v>
      </c>
      <c r="R303" s="149">
        <f>0.04*D303/100</f>
        <v>0.04</v>
      </c>
      <c r="S303" s="146">
        <v>14.61</v>
      </c>
      <c r="T303" s="148">
        <v>1.7</v>
      </c>
      <c r="U303" s="150"/>
      <c r="V303" s="151"/>
      <c r="W303" s="151"/>
      <c r="X303" s="151"/>
    </row>
    <row r="304" spans="1:24" s="140" customFormat="1" ht="15.75" customHeight="1" x14ac:dyDescent="0.2">
      <c r="A304" s="162">
        <v>139</v>
      </c>
      <c r="B304" s="269" t="s">
        <v>104</v>
      </c>
      <c r="C304" s="269"/>
      <c r="D304" s="163">
        <v>180</v>
      </c>
      <c r="E304" s="161">
        <v>12.81</v>
      </c>
      <c r="F304" s="161">
        <v>2.75</v>
      </c>
      <c r="G304" s="161">
        <v>13.2</v>
      </c>
      <c r="H304" s="161">
        <v>17.329999999999998</v>
      </c>
      <c r="I304" s="161">
        <v>199.2</v>
      </c>
      <c r="J304" s="161">
        <v>0.08</v>
      </c>
      <c r="K304" s="161">
        <v>0</v>
      </c>
      <c r="L304" s="161">
        <v>10.4</v>
      </c>
      <c r="M304" s="161">
        <v>37.200000000000003</v>
      </c>
      <c r="N304" s="161">
        <v>0</v>
      </c>
      <c r="O304" s="161">
        <v>28.68</v>
      </c>
      <c r="P304" s="161">
        <v>74.16</v>
      </c>
      <c r="Q304" s="161">
        <v>0</v>
      </c>
      <c r="R304" s="161">
        <v>0</v>
      </c>
      <c r="S304" s="161">
        <v>33.36</v>
      </c>
      <c r="T304" s="161">
        <v>1.18</v>
      </c>
      <c r="U304" s="150"/>
      <c r="V304" s="151"/>
      <c r="W304" s="151"/>
      <c r="X304" s="151"/>
    </row>
    <row r="305" spans="1:24" s="140" customFormat="1" ht="21.75" customHeight="1" x14ac:dyDescent="0.2">
      <c r="A305" s="153">
        <v>349</v>
      </c>
      <c r="B305" s="223" t="s">
        <v>96</v>
      </c>
      <c r="C305" s="224"/>
      <c r="D305" s="147">
        <v>200</v>
      </c>
      <c r="E305" s="148">
        <v>4.7300000000000004</v>
      </c>
      <c r="F305" s="148">
        <v>0.22</v>
      </c>
      <c r="G305" s="145"/>
      <c r="H305" s="148">
        <v>24.42</v>
      </c>
      <c r="I305" s="148">
        <f t="shared" si="81"/>
        <v>98.56</v>
      </c>
      <c r="J305" s="145"/>
      <c r="K305" s="145"/>
      <c r="L305" s="148">
        <v>26.11</v>
      </c>
      <c r="M305" s="145"/>
      <c r="N305" s="145"/>
      <c r="O305" s="146">
        <v>22.6</v>
      </c>
      <c r="P305" s="146">
        <v>7.7</v>
      </c>
      <c r="Q305" s="147">
        <v>0</v>
      </c>
      <c r="R305" s="147">
        <v>0</v>
      </c>
      <c r="S305" s="146">
        <v>3</v>
      </c>
      <c r="T305" s="148">
        <v>0.66</v>
      </c>
      <c r="U305" s="150"/>
      <c r="V305" s="151"/>
      <c r="W305" s="151"/>
      <c r="X305" s="151"/>
    </row>
    <row r="306" spans="1:24" s="140" customFormat="1" ht="11.25" customHeight="1" x14ac:dyDescent="0.2">
      <c r="A306" s="78" t="s">
        <v>66</v>
      </c>
      <c r="B306" s="223" t="s">
        <v>46</v>
      </c>
      <c r="C306" s="224"/>
      <c r="D306" s="147">
        <v>40</v>
      </c>
      <c r="E306" s="148">
        <v>3.1</v>
      </c>
      <c r="F306" s="148">
        <f>2.64*D306/40</f>
        <v>2.64</v>
      </c>
      <c r="G306" s="148">
        <f>0.48*D306/40</f>
        <v>0.48</v>
      </c>
      <c r="H306" s="148">
        <f>13.68*D306/40</f>
        <v>13.680000000000001</v>
      </c>
      <c r="I306" s="146">
        <f t="shared" si="81"/>
        <v>69.600000000000009</v>
      </c>
      <c r="J306" s="145">
        <f>0.08*D306/40</f>
        <v>0.08</v>
      </c>
      <c r="K306" s="148">
        <f>0.04*D306/40</f>
        <v>0.04</v>
      </c>
      <c r="L306" s="147">
        <v>0</v>
      </c>
      <c r="M306" s="147">
        <v>0</v>
      </c>
      <c r="N306" s="148">
        <f>2.4*D306/40</f>
        <v>2.4</v>
      </c>
      <c r="O306" s="148">
        <f>14*D306/40</f>
        <v>14</v>
      </c>
      <c r="P306" s="148">
        <f>63.2*D306/40</f>
        <v>63.2</v>
      </c>
      <c r="Q306" s="148">
        <f>1.2*D306/40</f>
        <v>1.2</v>
      </c>
      <c r="R306" s="149">
        <f>0.001*D306/40</f>
        <v>1E-3</v>
      </c>
      <c r="S306" s="148">
        <f>9.4*D306/40</f>
        <v>9.4</v>
      </c>
      <c r="T306" s="145">
        <f>0.78*D306/40</f>
        <v>0.78</v>
      </c>
      <c r="U306" s="30"/>
      <c r="V306" s="31"/>
      <c r="W306" s="31"/>
      <c r="X306" s="31"/>
    </row>
    <row r="307" spans="1:24" s="140" customFormat="1" ht="11.25" customHeight="1" x14ac:dyDescent="0.2">
      <c r="A307" s="153" t="s">
        <v>66</v>
      </c>
      <c r="B307" s="223" t="s">
        <v>53</v>
      </c>
      <c r="C307" s="224"/>
      <c r="D307" s="147">
        <v>40</v>
      </c>
      <c r="E307" s="148">
        <v>2.04</v>
      </c>
      <c r="F307" s="148">
        <f>1.52*D307/30</f>
        <v>2.0266666666666664</v>
      </c>
      <c r="G307" s="149">
        <f>0.16*D307/30</f>
        <v>0.21333333333333335</v>
      </c>
      <c r="H307" s="149">
        <f>9.84*D307/30</f>
        <v>13.120000000000001</v>
      </c>
      <c r="I307" s="149">
        <f t="shared" si="81"/>
        <v>62.506666666666668</v>
      </c>
      <c r="J307" s="149">
        <f>0.02*D307/30</f>
        <v>2.6666666666666668E-2</v>
      </c>
      <c r="K307" s="149">
        <f>0.01*D307/30</f>
        <v>1.3333333333333334E-2</v>
      </c>
      <c r="L307" s="149">
        <f>0.44*D307/30</f>
        <v>0.58666666666666667</v>
      </c>
      <c r="M307" s="149">
        <v>0</v>
      </c>
      <c r="N307" s="149">
        <f>0.7*D307/30</f>
        <v>0.93333333333333335</v>
      </c>
      <c r="O307" s="149">
        <f>4*D307/30</f>
        <v>5.333333333333333</v>
      </c>
      <c r="P307" s="149">
        <f>13*D307/30</f>
        <v>17.333333333333332</v>
      </c>
      <c r="Q307" s="149">
        <f>0.008*D307/30</f>
        <v>1.0666666666666666E-2</v>
      </c>
      <c r="R307" s="149">
        <f>0.001*D307/30</f>
        <v>1.3333333333333333E-3</v>
      </c>
      <c r="S307" s="149">
        <v>0</v>
      </c>
      <c r="T307" s="149">
        <f>0.22*D307/30</f>
        <v>0.29333333333333333</v>
      </c>
      <c r="U307" s="150"/>
      <c r="V307" s="151"/>
      <c r="W307" s="151"/>
      <c r="X307" s="151"/>
    </row>
    <row r="308" spans="1:24" s="140" customFormat="1" ht="11.25" customHeight="1" x14ac:dyDescent="0.2">
      <c r="A308" s="61" t="s">
        <v>29</v>
      </c>
      <c r="B308" s="62"/>
      <c r="C308" s="62"/>
      <c r="D308" s="65">
        <f t="shared" ref="D308:I308" si="82">SUM(D301:D307)</f>
        <v>910</v>
      </c>
      <c r="E308" s="154">
        <f t="shared" si="82"/>
        <v>90</v>
      </c>
      <c r="F308" s="39">
        <f t="shared" si="82"/>
        <v>25.119166666666668</v>
      </c>
      <c r="G308" s="38">
        <f t="shared" si="82"/>
        <v>34.455833333333331</v>
      </c>
      <c r="H308" s="38">
        <f t="shared" si="82"/>
        <v>102.39500000000001</v>
      </c>
      <c r="I308" s="38">
        <f t="shared" si="82"/>
        <v>820.34916666666652</v>
      </c>
      <c r="J308" s="39">
        <f t="shared" ref="J308:T308" si="83">SUM(J301:J307)</f>
        <v>1.1091666666666669</v>
      </c>
      <c r="K308" s="39">
        <f t="shared" si="83"/>
        <v>0.23783333333333334</v>
      </c>
      <c r="L308" s="38">
        <f t="shared" si="83"/>
        <v>81.716666666666669</v>
      </c>
      <c r="M308" s="39">
        <f t="shared" si="83"/>
        <v>38.128</v>
      </c>
      <c r="N308" s="43">
        <f t="shared" si="83"/>
        <v>6.0253333333333341</v>
      </c>
      <c r="O308" s="38">
        <f t="shared" si="83"/>
        <v>169.95083333333335</v>
      </c>
      <c r="P308" s="38">
        <f t="shared" si="83"/>
        <v>341.76083333333332</v>
      </c>
      <c r="Q308" s="39">
        <f t="shared" si="83"/>
        <v>4.3886666666666665</v>
      </c>
      <c r="R308" s="39">
        <f t="shared" si="83"/>
        <v>4.8333333333333332E-2</v>
      </c>
      <c r="S308" s="38">
        <f t="shared" si="83"/>
        <v>105.05000000000001</v>
      </c>
      <c r="T308" s="39">
        <f t="shared" si="83"/>
        <v>6.1733333333333329</v>
      </c>
      <c r="U308" s="38"/>
      <c r="V308" s="142"/>
      <c r="W308" s="142"/>
      <c r="X308" s="142"/>
    </row>
    <row r="309" spans="1:24" s="140" customFormat="1" ht="11.25" customHeight="1" x14ac:dyDescent="0.2">
      <c r="A309" s="231" t="s">
        <v>62</v>
      </c>
      <c r="B309" s="232"/>
      <c r="C309" s="232"/>
      <c r="D309" s="233"/>
      <c r="E309" s="180"/>
      <c r="F309" s="155">
        <f t="shared" ref="F309:T309" si="84">F308/F317</f>
        <v>0.27910185185185188</v>
      </c>
      <c r="G309" s="44">
        <f t="shared" si="84"/>
        <v>0.37451992753623187</v>
      </c>
      <c r="H309" s="44">
        <f t="shared" si="84"/>
        <v>0.26734986945169714</v>
      </c>
      <c r="I309" s="44">
        <f t="shared" si="84"/>
        <v>0.30159895833333328</v>
      </c>
      <c r="J309" s="44">
        <f t="shared" si="84"/>
        <v>0.79226190476190494</v>
      </c>
      <c r="K309" s="44">
        <f t="shared" si="84"/>
        <v>0.14864583333333334</v>
      </c>
      <c r="L309" s="44">
        <f t="shared" si="84"/>
        <v>1.1673809523809524</v>
      </c>
      <c r="M309" s="44">
        <f t="shared" si="84"/>
        <v>42.364444444444445</v>
      </c>
      <c r="N309" s="44">
        <f t="shared" si="84"/>
        <v>0.50211111111111117</v>
      </c>
      <c r="O309" s="44">
        <f t="shared" si="84"/>
        <v>0.14162569444444445</v>
      </c>
      <c r="P309" s="44">
        <f t="shared" si="84"/>
        <v>0.28480069444444445</v>
      </c>
      <c r="Q309" s="44">
        <f t="shared" si="84"/>
        <v>0.31347619047619046</v>
      </c>
      <c r="R309" s="44">
        <f t="shared" si="84"/>
        <v>0.48333333333333328</v>
      </c>
      <c r="S309" s="44">
        <f t="shared" si="84"/>
        <v>0.35016666666666668</v>
      </c>
      <c r="T309" s="44">
        <f t="shared" si="84"/>
        <v>0.34296296296296291</v>
      </c>
      <c r="U309" s="144"/>
      <c r="V309" s="142"/>
      <c r="W309" s="142"/>
      <c r="X309" s="142"/>
    </row>
    <row r="310" spans="1:24" s="140" customFormat="1" ht="11.25" hidden="1" customHeight="1" x14ac:dyDescent="0.2">
      <c r="A310" s="179"/>
      <c r="B310" s="180"/>
      <c r="C310" s="180"/>
      <c r="D310" s="180"/>
      <c r="E310" s="171">
        <f>90-E308</f>
        <v>0</v>
      </c>
      <c r="F310" s="155"/>
      <c r="G310" s="168"/>
      <c r="H310" s="168"/>
      <c r="I310" s="168"/>
      <c r="J310" s="168"/>
      <c r="K310" s="168"/>
      <c r="L310" s="168"/>
      <c r="M310" s="168"/>
      <c r="N310" s="168"/>
      <c r="O310" s="168"/>
      <c r="P310" s="168"/>
      <c r="Q310" s="168"/>
      <c r="R310" s="168"/>
      <c r="S310" s="168"/>
      <c r="T310" s="169"/>
      <c r="U310" s="144"/>
      <c r="V310" s="142"/>
      <c r="W310" s="142"/>
      <c r="X310" s="142"/>
    </row>
    <row r="311" spans="1:24" s="140" customFormat="1" ht="11.25" customHeight="1" x14ac:dyDescent="0.2">
      <c r="A311" s="234" t="s">
        <v>30</v>
      </c>
      <c r="B311" s="235"/>
      <c r="C311" s="235"/>
      <c r="D311" s="235"/>
      <c r="E311" s="235"/>
      <c r="F311" s="235"/>
      <c r="G311" s="235"/>
      <c r="H311" s="235"/>
      <c r="I311" s="235"/>
      <c r="J311" s="235"/>
      <c r="K311" s="235"/>
      <c r="L311" s="235"/>
      <c r="M311" s="235"/>
      <c r="N311" s="235"/>
      <c r="O311" s="235"/>
      <c r="P311" s="235"/>
      <c r="Q311" s="235"/>
      <c r="R311" s="235"/>
      <c r="S311" s="235"/>
      <c r="T311" s="236"/>
      <c r="U311" s="11"/>
      <c r="V311" s="24"/>
      <c r="W311" s="24"/>
      <c r="X311" s="24"/>
    </row>
    <row r="312" spans="1:24" s="129" customFormat="1" ht="22.35" customHeight="1" x14ac:dyDescent="0.2">
      <c r="A312" s="135"/>
      <c r="B312" s="253"/>
      <c r="C312" s="253"/>
      <c r="D312" s="202"/>
      <c r="E312" s="130"/>
      <c r="F312" s="130"/>
      <c r="G312" s="203"/>
      <c r="H312" s="203"/>
      <c r="I312" s="203"/>
      <c r="J312" s="130"/>
      <c r="K312" s="130"/>
      <c r="L312" s="130"/>
      <c r="M312" s="130"/>
      <c r="N312" s="202"/>
      <c r="O312" s="130"/>
      <c r="P312" s="130"/>
      <c r="Q312" s="203"/>
      <c r="R312" s="130"/>
      <c r="S312" s="203"/>
      <c r="T312" s="130"/>
      <c r="V312" s="222" t="s">
        <v>68</v>
      </c>
      <c r="W312" s="222" t="s">
        <v>69</v>
      </c>
      <c r="X312" s="222" t="s">
        <v>70</v>
      </c>
    </row>
    <row r="313" spans="1:24" s="129" customFormat="1" ht="11.25" customHeight="1" x14ac:dyDescent="0.2">
      <c r="A313" s="205"/>
      <c r="B313" s="225"/>
      <c r="C313" s="225"/>
      <c r="D313" s="206"/>
      <c r="E313" s="136"/>
      <c r="F313" s="128"/>
      <c r="G313" s="128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8"/>
      <c r="V313" s="222"/>
      <c r="W313" s="222"/>
      <c r="X313" s="222"/>
    </row>
    <row r="314" spans="1:24" s="1" customFormat="1" ht="11.25" customHeight="1" x14ac:dyDescent="0.2">
      <c r="A314" s="61" t="s">
        <v>31</v>
      </c>
      <c r="B314" s="62"/>
      <c r="C314" s="62"/>
      <c r="D314" s="65">
        <f t="shared" ref="D314:T314" si="85">SUM(D312:D313)</f>
        <v>0</v>
      </c>
      <c r="E314" s="154">
        <f t="shared" si="85"/>
        <v>0</v>
      </c>
      <c r="F314" s="154">
        <f t="shared" si="85"/>
        <v>0</v>
      </c>
      <c r="G314" s="154">
        <f t="shared" si="85"/>
        <v>0</v>
      </c>
      <c r="H314" s="154">
        <f t="shared" si="85"/>
        <v>0</v>
      </c>
      <c r="I314" s="154">
        <f t="shared" si="85"/>
        <v>0</v>
      </c>
      <c r="J314" s="154">
        <f t="shared" si="85"/>
        <v>0</v>
      </c>
      <c r="K314" s="154">
        <f t="shared" si="85"/>
        <v>0</v>
      </c>
      <c r="L314" s="154">
        <f t="shared" si="85"/>
        <v>0</v>
      </c>
      <c r="M314" s="154">
        <f t="shared" si="85"/>
        <v>0</v>
      </c>
      <c r="N314" s="154">
        <f t="shared" si="85"/>
        <v>0</v>
      </c>
      <c r="O314" s="154">
        <f t="shared" si="85"/>
        <v>0</v>
      </c>
      <c r="P314" s="154">
        <f t="shared" si="85"/>
        <v>0</v>
      </c>
      <c r="Q314" s="154">
        <f t="shared" si="85"/>
        <v>0</v>
      </c>
      <c r="R314" s="154">
        <f t="shared" si="85"/>
        <v>0</v>
      </c>
      <c r="S314" s="154">
        <f t="shared" si="85"/>
        <v>0</v>
      </c>
      <c r="T314" s="154">
        <f t="shared" si="85"/>
        <v>0</v>
      </c>
      <c r="U314" s="38"/>
      <c r="V314" s="222"/>
      <c r="W314" s="222"/>
      <c r="X314" s="222"/>
    </row>
    <row r="315" spans="1:24" s="1" customFormat="1" ht="11.25" customHeight="1" x14ac:dyDescent="0.2">
      <c r="A315" s="231" t="s">
        <v>62</v>
      </c>
      <c r="B315" s="232"/>
      <c r="C315" s="232"/>
      <c r="D315" s="233"/>
      <c r="E315" s="181"/>
      <c r="F315" s="76">
        <f>F314/F317</f>
        <v>0</v>
      </c>
      <c r="G315" s="44">
        <f t="shared" ref="G315:T315" si="86">G314/G317</f>
        <v>0</v>
      </c>
      <c r="H315" s="44">
        <f t="shared" si="86"/>
        <v>0</v>
      </c>
      <c r="I315" s="44">
        <f t="shared" si="86"/>
        <v>0</v>
      </c>
      <c r="J315" s="44">
        <f t="shared" si="86"/>
        <v>0</v>
      </c>
      <c r="K315" s="44">
        <f t="shared" si="86"/>
        <v>0</v>
      </c>
      <c r="L315" s="44">
        <f t="shared" si="86"/>
        <v>0</v>
      </c>
      <c r="M315" s="44">
        <f t="shared" si="86"/>
        <v>0</v>
      </c>
      <c r="N315" s="44">
        <f t="shared" si="86"/>
        <v>0</v>
      </c>
      <c r="O315" s="44">
        <f t="shared" si="86"/>
        <v>0</v>
      </c>
      <c r="P315" s="44">
        <f t="shared" si="86"/>
        <v>0</v>
      </c>
      <c r="Q315" s="44">
        <f t="shared" si="86"/>
        <v>0</v>
      </c>
      <c r="R315" s="44">
        <f t="shared" si="86"/>
        <v>0</v>
      </c>
      <c r="S315" s="44">
        <f t="shared" si="86"/>
        <v>0</v>
      </c>
      <c r="T315" s="44">
        <f t="shared" si="86"/>
        <v>0</v>
      </c>
      <c r="U315" s="144"/>
      <c r="V315" s="178"/>
      <c r="W315" s="178"/>
      <c r="X315" s="178"/>
    </row>
    <row r="316" spans="1:24" s="1" customFormat="1" ht="11.25" customHeight="1" x14ac:dyDescent="0.2">
      <c r="A316" s="261" t="s">
        <v>61</v>
      </c>
      <c r="B316" s="262"/>
      <c r="C316" s="262"/>
      <c r="D316" s="263"/>
      <c r="E316" s="174"/>
      <c r="F316" s="39">
        <f t="shared" ref="F316:T316" si="87">SUM(F297,F308,F314)</f>
        <v>43.230833333333337</v>
      </c>
      <c r="G316" s="38">
        <f t="shared" si="87"/>
        <v>59.05416666666666</v>
      </c>
      <c r="H316" s="38">
        <f t="shared" si="87"/>
        <v>206.73500000000001</v>
      </c>
      <c r="I316" s="38">
        <f t="shared" si="87"/>
        <v>1531.540833333333</v>
      </c>
      <c r="J316" s="39">
        <f t="shared" si="87"/>
        <v>1.3608333333333336</v>
      </c>
      <c r="K316" s="39">
        <f t="shared" si="87"/>
        <v>0.59116666666666662</v>
      </c>
      <c r="L316" s="38">
        <f t="shared" si="87"/>
        <v>149.56583333333333</v>
      </c>
      <c r="M316" s="39">
        <f t="shared" si="87"/>
        <v>38.239750000000001</v>
      </c>
      <c r="N316" s="39">
        <f t="shared" si="87"/>
        <v>8.9686666666666675</v>
      </c>
      <c r="O316" s="38">
        <f t="shared" si="87"/>
        <v>621.83416666666665</v>
      </c>
      <c r="P316" s="38">
        <f t="shared" si="87"/>
        <v>765.12416666666661</v>
      </c>
      <c r="Q316" s="39">
        <f t="shared" si="87"/>
        <v>5.6163333333333334</v>
      </c>
      <c r="R316" s="40">
        <f t="shared" si="87"/>
        <v>0.10166666666666667</v>
      </c>
      <c r="S316" s="39">
        <f t="shared" si="87"/>
        <v>206.29000000000002</v>
      </c>
      <c r="T316" s="39">
        <f t="shared" si="87"/>
        <v>9.586666666666666</v>
      </c>
      <c r="U316" s="42"/>
      <c r="V316" s="76">
        <f>AVERAGE(I298,I333,I368,I407,I443)</f>
        <v>0.25163342524509802</v>
      </c>
      <c r="W316" s="76">
        <f>AVERAGE(I309,I343,I380,I418,I455)</f>
        <v>495.55113281249999</v>
      </c>
      <c r="X316" s="76">
        <f>AVERAGE(I315,I350,I387,I424,I461)</f>
        <v>0</v>
      </c>
    </row>
    <row r="317" spans="1:24" s="1" customFormat="1" ht="11.25" customHeight="1" x14ac:dyDescent="0.2">
      <c r="A317" s="261" t="s">
        <v>63</v>
      </c>
      <c r="B317" s="262"/>
      <c r="C317" s="262"/>
      <c r="D317" s="263"/>
      <c r="E317" s="174"/>
      <c r="F317" s="148">
        <v>90</v>
      </c>
      <c r="G317" s="146">
        <v>92</v>
      </c>
      <c r="H317" s="146">
        <v>383</v>
      </c>
      <c r="I317" s="146">
        <v>2720</v>
      </c>
      <c r="J317" s="148">
        <v>1.4</v>
      </c>
      <c r="K317" s="148">
        <v>1.6</v>
      </c>
      <c r="L317" s="147">
        <v>70</v>
      </c>
      <c r="M317" s="148">
        <v>0.9</v>
      </c>
      <c r="N317" s="147">
        <v>12</v>
      </c>
      <c r="O317" s="147">
        <v>1200</v>
      </c>
      <c r="P317" s="147">
        <v>1200</v>
      </c>
      <c r="Q317" s="147">
        <v>14</v>
      </c>
      <c r="R317" s="146">
        <v>0.1</v>
      </c>
      <c r="S317" s="147">
        <v>300</v>
      </c>
      <c r="T317" s="148">
        <v>18</v>
      </c>
      <c r="U317" s="150"/>
      <c r="V317" s="151"/>
      <c r="W317" s="151"/>
      <c r="X317" s="151"/>
    </row>
    <row r="318" spans="1:24" s="1" customFormat="1" ht="11.25" customHeight="1" x14ac:dyDescent="0.2">
      <c r="A318" s="231" t="s">
        <v>62</v>
      </c>
      <c r="B318" s="232"/>
      <c r="C318" s="232"/>
      <c r="D318" s="233"/>
      <c r="E318" s="181"/>
      <c r="F318" s="76">
        <f t="shared" ref="F318:T318" si="88">F316/F317</f>
        <v>0.48034259259259265</v>
      </c>
      <c r="G318" s="44">
        <f t="shared" si="88"/>
        <v>0.64189311594202891</v>
      </c>
      <c r="H318" s="44">
        <f t="shared" si="88"/>
        <v>0.53977806788511751</v>
      </c>
      <c r="I318" s="44">
        <f t="shared" si="88"/>
        <v>0.56306648284313709</v>
      </c>
      <c r="J318" s="44">
        <f t="shared" si="88"/>
        <v>0.97202380952380973</v>
      </c>
      <c r="K318" s="44">
        <f t="shared" si="88"/>
        <v>0.36947916666666664</v>
      </c>
      <c r="L318" s="44">
        <f t="shared" si="88"/>
        <v>2.136654761904762</v>
      </c>
      <c r="M318" s="45">
        <f>M316/M317</f>
        <v>42.488611111111112</v>
      </c>
      <c r="N318" s="44">
        <f t="shared" si="88"/>
        <v>0.74738888888888899</v>
      </c>
      <c r="O318" s="44">
        <f t="shared" si="88"/>
        <v>0.51819513888888891</v>
      </c>
      <c r="P318" s="44">
        <f t="shared" si="88"/>
        <v>0.63760347222222213</v>
      </c>
      <c r="Q318" s="44">
        <f t="shared" si="88"/>
        <v>0.40116666666666667</v>
      </c>
      <c r="R318" s="45">
        <f t="shared" si="88"/>
        <v>1.0166666666666666</v>
      </c>
      <c r="S318" s="44">
        <f t="shared" si="88"/>
        <v>0.68763333333333343</v>
      </c>
      <c r="T318" s="45">
        <f t="shared" si="88"/>
        <v>0.53259259259259251</v>
      </c>
      <c r="U318" s="46"/>
      <c r="V318" s="47"/>
      <c r="W318" s="47"/>
      <c r="X318" s="47"/>
    </row>
    <row r="319" spans="1:24" s="1" customFormat="1" ht="11.25" customHeight="1" x14ac:dyDescent="0.2">
      <c r="A319" s="264" t="s">
        <v>44</v>
      </c>
      <c r="B319" s="264"/>
      <c r="C319" s="264"/>
      <c r="D319" s="264"/>
      <c r="E319" s="264"/>
      <c r="F319" s="264"/>
      <c r="G319" s="264"/>
      <c r="H319" s="264"/>
      <c r="I319" s="264"/>
      <c r="J319" s="264"/>
      <c r="K319" s="264"/>
      <c r="L319" s="264"/>
      <c r="M319" s="264"/>
      <c r="N319" s="264"/>
      <c r="O319" s="264"/>
      <c r="P319" s="264"/>
      <c r="Q319" s="264"/>
      <c r="R319" s="264"/>
      <c r="S319" s="264"/>
      <c r="T319" s="264"/>
      <c r="U319" s="13"/>
      <c r="V319" s="25"/>
      <c r="W319" s="25"/>
      <c r="X319" s="25"/>
    </row>
    <row r="320" spans="1:24" s="1" customFormat="1" ht="11.25" customHeight="1" x14ac:dyDescent="0.2">
      <c r="A320" s="58" t="s">
        <v>55</v>
      </c>
      <c r="B320" s="54"/>
      <c r="C320" s="54"/>
      <c r="D320" s="2"/>
      <c r="E320" s="2"/>
      <c r="F320" s="34"/>
      <c r="G320" s="240" t="s">
        <v>39</v>
      </c>
      <c r="H320" s="240"/>
      <c r="I320" s="240"/>
      <c r="J320" s="71"/>
      <c r="K320" s="71"/>
      <c r="L320" s="247" t="s">
        <v>2</v>
      </c>
      <c r="M320" s="247"/>
      <c r="N320" s="259"/>
      <c r="O320" s="259"/>
      <c r="P320" s="259"/>
      <c r="Q320" s="259"/>
      <c r="R320" s="71"/>
      <c r="S320" s="71"/>
      <c r="T320" s="71"/>
      <c r="U320" s="14"/>
      <c r="V320" s="20"/>
      <c r="W320" s="20"/>
      <c r="X320" s="20"/>
    </row>
    <row r="321" spans="1:24" s="1" customFormat="1" ht="11.25" customHeight="1" x14ac:dyDescent="0.2">
      <c r="A321" s="54"/>
      <c r="B321" s="54"/>
      <c r="C321" s="54"/>
      <c r="D321" s="247" t="s">
        <v>3</v>
      </c>
      <c r="E321" s="247"/>
      <c r="F321" s="247"/>
      <c r="G321" s="7">
        <v>2</v>
      </c>
      <c r="H321" s="71"/>
      <c r="I321" s="2"/>
      <c r="J321" s="2"/>
      <c r="K321" s="2"/>
      <c r="L321" s="247" t="s">
        <v>4</v>
      </c>
      <c r="M321" s="247"/>
      <c r="N321" s="240" t="s">
        <v>121</v>
      </c>
      <c r="O321" s="240"/>
      <c r="P321" s="240"/>
      <c r="Q321" s="240"/>
      <c r="R321" s="240"/>
      <c r="S321" s="240"/>
      <c r="T321" s="240"/>
      <c r="U321" s="15"/>
      <c r="V321" s="21"/>
      <c r="W321" s="21"/>
      <c r="X321" s="21"/>
    </row>
    <row r="322" spans="1:24" s="1" customFormat="1" ht="21.75" customHeight="1" x14ac:dyDescent="0.2">
      <c r="A322" s="241" t="s">
        <v>5</v>
      </c>
      <c r="B322" s="241" t="s">
        <v>6</v>
      </c>
      <c r="C322" s="241"/>
      <c r="D322" s="241" t="s">
        <v>7</v>
      </c>
      <c r="E322" s="119"/>
      <c r="F322" s="248" t="s">
        <v>8</v>
      </c>
      <c r="G322" s="249"/>
      <c r="H322" s="250"/>
      <c r="I322" s="241" t="s">
        <v>9</v>
      </c>
      <c r="J322" s="270" t="s">
        <v>10</v>
      </c>
      <c r="K322" s="270"/>
      <c r="L322" s="270"/>
      <c r="M322" s="270"/>
      <c r="N322" s="270"/>
      <c r="O322" s="270" t="s">
        <v>11</v>
      </c>
      <c r="P322" s="270"/>
      <c r="Q322" s="270"/>
      <c r="R322" s="270"/>
      <c r="S322" s="270"/>
      <c r="T322" s="270"/>
      <c r="U322" s="9"/>
      <c r="V322" s="22"/>
      <c r="W322" s="22"/>
      <c r="X322" s="22"/>
    </row>
    <row r="323" spans="1:24" s="1" customFormat="1" ht="21" customHeight="1" x14ac:dyDescent="0.2">
      <c r="A323" s="242"/>
      <c r="B323" s="245"/>
      <c r="C323" s="246"/>
      <c r="D323" s="242"/>
      <c r="E323" s="118"/>
      <c r="F323" s="100" t="s">
        <v>12</v>
      </c>
      <c r="G323" s="112" t="s">
        <v>13</v>
      </c>
      <c r="H323" s="112" t="s">
        <v>14</v>
      </c>
      <c r="I323" s="242"/>
      <c r="J323" s="112" t="s">
        <v>15</v>
      </c>
      <c r="K323" s="112" t="s">
        <v>57</v>
      </c>
      <c r="L323" s="112" t="s">
        <v>16</v>
      </c>
      <c r="M323" s="112" t="s">
        <v>17</v>
      </c>
      <c r="N323" s="112" t="s">
        <v>18</v>
      </c>
      <c r="O323" s="112" t="s">
        <v>19</v>
      </c>
      <c r="P323" s="112" t="s">
        <v>20</v>
      </c>
      <c r="Q323" s="112" t="s">
        <v>58</v>
      </c>
      <c r="R323" s="112" t="s">
        <v>59</v>
      </c>
      <c r="S323" s="112" t="s">
        <v>21</v>
      </c>
      <c r="T323" s="112" t="s">
        <v>22</v>
      </c>
      <c r="U323" s="9"/>
      <c r="V323" s="22"/>
      <c r="W323" s="22"/>
      <c r="X323" s="22"/>
    </row>
    <row r="324" spans="1:24" s="1" customFormat="1" ht="11.25" customHeight="1" x14ac:dyDescent="0.2">
      <c r="A324" s="113">
        <v>1</v>
      </c>
      <c r="B324" s="271">
        <v>2</v>
      </c>
      <c r="C324" s="271"/>
      <c r="D324" s="37">
        <v>3</v>
      </c>
      <c r="E324" s="37"/>
      <c r="F324" s="37">
        <v>4</v>
      </c>
      <c r="G324" s="37">
        <v>5</v>
      </c>
      <c r="H324" s="37">
        <v>6</v>
      </c>
      <c r="I324" s="37">
        <v>7</v>
      </c>
      <c r="J324" s="37">
        <v>8</v>
      </c>
      <c r="K324" s="37">
        <v>9</v>
      </c>
      <c r="L324" s="37">
        <v>10</v>
      </c>
      <c r="M324" s="37">
        <v>11</v>
      </c>
      <c r="N324" s="37">
        <v>12</v>
      </c>
      <c r="O324" s="37">
        <v>13</v>
      </c>
      <c r="P324" s="37">
        <v>14</v>
      </c>
      <c r="Q324" s="37">
        <v>15</v>
      </c>
      <c r="R324" s="37">
        <v>16</v>
      </c>
      <c r="S324" s="37">
        <v>17</v>
      </c>
      <c r="T324" s="37">
        <v>18</v>
      </c>
      <c r="U324" s="10"/>
      <c r="V324" s="23"/>
      <c r="W324" s="23"/>
      <c r="X324" s="23"/>
    </row>
    <row r="325" spans="1:24" s="1" customFormat="1" ht="11.25" customHeight="1" x14ac:dyDescent="0.2">
      <c r="A325" s="234" t="s">
        <v>26</v>
      </c>
      <c r="B325" s="235"/>
      <c r="C325" s="235"/>
      <c r="D325" s="235"/>
      <c r="E325" s="235"/>
      <c r="F325" s="235"/>
      <c r="G325" s="235"/>
      <c r="H325" s="235"/>
      <c r="I325" s="235"/>
      <c r="J325" s="235"/>
      <c r="K325" s="235"/>
      <c r="L325" s="235"/>
      <c r="M325" s="235"/>
      <c r="N325" s="235"/>
      <c r="O325" s="235"/>
      <c r="P325" s="235"/>
      <c r="Q325" s="235"/>
      <c r="R325" s="235"/>
      <c r="S325" s="235"/>
      <c r="T325" s="236"/>
      <c r="U325" s="11"/>
      <c r="V325" s="24"/>
      <c r="W325" s="24"/>
      <c r="X325" s="24"/>
    </row>
    <row r="326" spans="1:24" s="1" customFormat="1" ht="11.25" customHeight="1" x14ac:dyDescent="0.2">
      <c r="A326" s="82">
        <v>131</v>
      </c>
      <c r="B326" s="223" t="s">
        <v>80</v>
      </c>
      <c r="C326" s="224"/>
      <c r="D326" s="70">
        <v>30</v>
      </c>
      <c r="E326" s="148">
        <v>6.45</v>
      </c>
      <c r="F326" s="72">
        <f>4.6*D326/20</f>
        <v>6.9</v>
      </c>
      <c r="G326" s="68">
        <f>0.24*D326/20</f>
        <v>0.36</v>
      </c>
      <c r="H326" s="72">
        <f>10.66*D326/20</f>
        <v>15.99</v>
      </c>
      <c r="I326" s="72">
        <f t="shared" ref="I326:I331" si="89">F326*4+G326*9+H326*4</f>
        <v>94.8</v>
      </c>
      <c r="J326" s="68">
        <f>0.16*D326/20</f>
        <v>0.24</v>
      </c>
      <c r="K326" s="68">
        <f>0.04*D326/20</f>
        <v>0.06</v>
      </c>
      <c r="L326" s="70">
        <v>0</v>
      </c>
      <c r="M326" s="73">
        <f>0.002*D326/20</f>
        <v>3.0000000000000001E-3</v>
      </c>
      <c r="N326" s="68">
        <f>1.82*D326/20</f>
        <v>2.73</v>
      </c>
      <c r="O326" s="69">
        <f>23*D326/20</f>
        <v>34.5</v>
      </c>
      <c r="P326" s="69">
        <f>65.8*D326/20</f>
        <v>98.7</v>
      </c>
      <c r="Q326" s="72">
        <f>0.64*D326/20</f>
        <v>0.96</v>
      </c>
      <c r="R326" s="73">
        <f>0.00102*D326/20</f>
        <v>1.5300000000000001E-3</v>
      </c>
      <c r="S326" s="69">
        <f>21.4*D326/20</f>
        <v>32.1</v>
      </c>
      <c r="T326" s="73">
        <f>0.004*D326/20</f>
        <v>6.0000000000000001E-3</v>
      </c>
      <c r="U326" s="11"/>
      <c r="V326" s="24"/>
      <c r="W326" s="24"/>
      <c r="X326" s="24"/>
    </row>
    <row r="327" spans="1:24" s="3" customFormat="1" ht="15" customHeight="1" x14ac:dyDescent="0.2">
      <c r="A327" s="121">
        <v>15</v>
      </c>
      <c r="B327" s="223" t="s">
        <v>77</v>
      </c>
      <c r="C327" s="224"/>
      <c r="D327" s="70">
        <v>20</v>
      </c>
      <c r="E327" s="148">
        <v>12.8</v>
      </c>
      <c r="F327" s="72">
        <f>2.32*D327/10</f>
        <v>4.6399999999999997</v>
      </c>
      <c r="G327" s="72">
        <f>3.4*D327/10</f>
        <v>6.8</v>
      </c>
      <c r="H327" s="72">
        <f>0.01*D327/10</f>
        <v>0.02</v>
      </c>
      <c r="I327" s="72">
        <f t="shared" si="89"/>
        <v>79.839999999999989</v>
      </c>
      <c r="J327" s="72">
        <f>0.004*D327/10</f>
        <v>8.0000000000000002E-3</v>
      </c>
      <c r="K327" s="72">
        <f>0.03*D327/10</f>
        <v>0.06</v>
      </c>
      <c r="L327" s="72">
        <f>0.07*D327/10</f>
        <v>0.14000000000000001</v>
      </c>
      <c r="M327" s="73">
        <f>0.023*D327/10</f>
        <v>4.5999999999999999E-2</v>
      </c>
      <c r="N327" s="72">
        <f>0.05*D327/10</f>
        <v>0.1</v>
      </c>
      <c r="O327" s="72">
        <f>88*D327/10</f>
        <v>176</v>
      </c>
      <c r="P327" s="72">
        <f>50*D327/10</f>
        <v>100</v>
      </c>
      <c r="Q327" s="72">
        <f>0.4*D327/10</f>
        <v>0.8</v>
      </c>
      <c r="R327" s="73">
        <f>0.02*D327/10</f>
        <v>0.04</v>
      </c>
      <c r="S327" s="72">
        <f>3.5*D327/10</f>
        <v>7</v>
      </c>
      <c r="T327" s="72">
        <f>0.13*D327/10</f>
        <v>0.26</v>
      </c>
      <c r="U327" s="74"/>
      <c r="V327" s="75"/>
      <c r="W327" s="75"/>
      <c r="X327" s="75"/>
    </row>
    <row r="328" spans="1:24" s="3" customFormat="1" ht="12.75" customHeight="1" x14ac:dyDescent="0.2">
      <c r="A328" s="113">
        <v>210</v>
      </c>
      <c r="B328" s="223" t="s">
        <v>48</v>
      </c>
      <c r="C328" s="224"/>
      <c r="D328" s="70">
        <v>250</v>
      </c>
      <c r="E328" s="148">
        <v>31.45</v>
      </c>
      <c r="F328" s="72">
        <f>16.29*D328/200</f>
        <v>20.362500000000001</v>
      </c>
      <c r="G328" s="72">
        <f>18.99*D328/200</f>
        <v>23.737500000000001</v>
      </c>
      <c r="H328" s="72">
        <f>5.04*D328/200</f>
        <v>6.3</v>
      </c>
      <c r="I328" s="72">
        <f t="shared" si="89"/>
        <v>320.28750000000002</v>
      </c>
      <c r="J328" s="72">
        <f>0.117*D328/200</f>
        <v>0.14624999999999999</v>
      </c>
      <c r="K328" s="72">
        <f>0.27*D328/200</f>
        <v>0.33750000000000002</v>
      </c>
      <c r="L328" s="72">
        <f>0.324*D328/200</f>
        <v>0.40500000000000003</v>
      </c>
      <c r="M328" s="72">
        <f>0.036*D328/200</f>
        <v>4.4999999999999998E-2</v>
      </c>
      <c r="N328" s="68">
        <f>1.94*D328/200</f>
        <v>2.4249999999999998</v>
      </c>
      <c r="O328" s="72">
        <f>131.38*D328/200</f>
        <v>164.22499999999999</v>
      </c>
      <c r="P328" s="72">
        <f>248.5*D328/200</f>
        <v>310.625</v>
      </c>
      <c r="Q328" s="72">
        <f>1.35*D328/200</f>
        <v>1.6875</v>
      </c>
      <c r="R328" s="72">
        <f>0.03*D328/200</f>
        <v>3.7499999999999999E-2</v>
      </c>
      <c r="S328" s="72">
        <f>21.55*D328/200</f>
        <v>26.9375</v>
      </c>
      <c r="T328" s="72">
        <f>1.51*D328/200</f>
        <v>1.8875</v>
      </c>
      <c r="U328" s="74"/>
      <c r="V328" s="75"/>
      <c r="W328" s="75"/>
      <c r="X328" s="75"/>
    </row>
    <row r="329" spans="1:24" s="71" customFormat="1" x14ac:dyDescent="0.2">
      <c r="A329" s="66">
        <v>338</v>
      </c>
      <c r="B329" s="223" t="s">
        <v>109</v>
      </c>
      <c r="C329" s="224"/>
      <c r="D329" s="70">
        <v>100</v>
      </c>
      <c r="E329" s="148">
        <v>12.59</v>
      </c>
      <c r="F329" s="72">
        <v>0.9</v>
      </c>
      <c r="G329" s="68">
        <v>0.2</v>
      </c>
      <c r="H329" s="69">
        <v>8.1</v>
      </c>
      <c r="I329" s="72">
        <f t="shared" si="89"/>
        <v>37.799999999999997</v>
      </c>
      <c r="J329" s="72">
        <v>0.04</v>
      </c>
      <c r="K329" s="72">
        <v>0.03</v>
      </c>
      <c r="L329" s="72">
        <v>60</v>
      </c>
      <c r="M329" s="72">
        <v>8.0000000000000002E-3</v>
      </c>
      <c r="N329" s="68">
        <v>0.2</v>
      </c>
      <c r="O329" s="72">
        <v>34</v>
      </c>
      <c r="P329" s="72">
        <v>23</v>
      </c>
      <c r="Q329" s="73">
        <v>0.2</v>
      </c>
      <c r="R329" s="72">
        <v>2E-3</v>
      </c>
      <c r="S329" s="72">
        <v>15</v>
      </c>
      <c r="T329" s="72">
        <v>0.3</v>
      </c>
      <c r="U329" s="74"/>
      <c r="V329" s="75"/>
      <c r="W329" s="75"/>
      <c r="X329" s="75"/>
    </row>
    <row r="330" spans="1:24" s="140" customFormat="1" ht="11.25" customHeight="1" x14ac:dyDescent="0.2">
      <c r="A330" s="156">
        <v>377</v>
      </c>
      <c r="B330" s="258" t="s">
        <v>45</v>
      </c>
      <c r="C330" s="258"/>
      <c r="D330" s="147">
        <v>200</v>
      </c>
      <c r="E330" s="148">
        <v>3.61</v>
      </c>
      <c r="F330" s="148">
        <v>0.26</v>
      </c>
      <c r="G330" s="148">
        <v>0.06</v>
      </c>
      <c r="H330" s="148">
        <v>15.22</v>
      </c>
      <c r="I330" s="148">
        <f t="shared" si="89"/>
        <v>62.46</v>
      </c>
      <c r="J330" s="148"/>
      <c r="K330" s="148">
        <v>0.01</v>
      </c>
      <c r="L330" s="148">
        <v>2.9</v>
      </c>
      <c r="M330" s="145">
        <v>0</v>
      </c>
      <c r="N330" s="148">
        <v>0.06</v>
      </c>
      <c r="O330" s="148">
        <v>8.0500000000000007</v>
      </c>
      <c r="P330" s="148">
        <v>9.7799999999999994</v>
      </c>
      <c r="Q330" s="148">
        <v>1.7000000000000001E-2</v>
      </c>
      <c r="R330" s="149">
        <v>0</v>
      </c>
      <c r="S330" s="148">
        <v>5.24</v>
      </c>
      <c r="T330" s="148">
        <v>0.87</v>
      </c>
      <c r="U330" s="150"/>
      <c r="V330" s="151"/>
      <c r="W330" s="151"/>
      <c r="X330" s="151"/>
    </row>
    <row r="331" spans="1:24" s="3" customFormat="1" ht="12.75" customHeight="1" x14ac:dyDescent="0.2">
      <c r="A331" s="77" t="s">
        <v>66</v>
      </c>
      <c r="B331" s="223" t="s">
        <v>53</v>
      </c>
      <c r="C331" s="224"/>
      <c r="D331" s="70">
        <v>40</v>
      </c>
      <c r="E331" s="148">
        <v>3.1</v>
      </c>
      <c r="F331" s="72">
        <f>1.52*D331/30</f>
        <v>2.0266666666666664</v>
      </c>
      <c r="G331" s="73">
        <f>0.16*D331/30</f>
        <v>0.21333333333333335</v>
      </c>
      <c r="H331" s="73">
        <f>9.84*D331/30</f>
        <v>13.120000000000001</v>
      </c>
      <c r="I331" s="73">
        <f t="shared" si="89"/>
        <v>62.506666666666668</v>
      </c>
      <c r="J331" s="73">
        <f>0.02*D331/30</f>
        <v>2.6666666666666668E-2</v>
      </c>
      <c r="K331" s="73">
        <f>0.01*D331/30</f>
        <v>1.3333333333333334E-2</v>
      </c>
      <c r="L331" s="73">
        <f>0.44*D331/30</f>
        <v>0.58666666666666667</v>
      </c>
      <c r="M331" s="73">
        <v>0</v>
      </c>
      <c r="N331" s="73">
        <f>0.7*D331/30</f>
        <v>0.93333333333333335</v>
      </c>
      <c r="O331" s="73">
        <f>4*D331/30</f>
        <v>5.333333333333333</v>
      </c>
      <c r="P331" s="73">
        <f>13*D331/30</f>
        <v>17.333333333333332</v>
      </c>
      <c r="Q331" s="73">
        <f>0.008*D331/30</f>
        <v>1.0666666666666666E-2</v>
      </c>
      <c r="R331" s="73">
        <f>0.001*D331/30</f>
        <v>1.3333333333333333E-3</v>
      </c>
      <c r="S331" s="73">
        <v>0</v>
      </c>
      <c r="T331" s="73">
        <f>0.22*D331/30</f>
        <v>0.29333333333333333</v>
      </c>
      <c r="U331" s="74"/>
      <c r="V331" s="75"/>
      <c r="W331" s="75"/>
      <c r="X331" s="75"/>
    </row>
    <row r="332" spans="1:24" s="3" customFormat="1" ht="11.25" customHeight="1" x14ac:dyDescent="0.2">
      <c r="A332" s="61" t="s">
        <v>27</v>
      </c>
      <c r="B332" s="62"/>
      <c r="C332" s="62"/>
      <c r="D332" s="65">
        <f>SUM(D326:D331)</f>
        <v>640</v>
      </c>
      <c r="E332" s="154">
        <f>SUM(E326:E331)</f>
        <v>70</v>
      </c>
      <c r="F332" s="39">
        <f t="shared" ref="F332:T332" si="90">SUM(F326:F331)</f>
        <v>35.089166666666664</v>
      </c>
      <c r="G332" s="49">
        <f t="shared" si="90"/>
        <v>31.370833333333334</v>
      </c>
      <c r="H332" s="49">
        <f t="shared" si="90"/>
        <v>58.75</v>
      </c>
      <c r="I332" s="38">
        <f t="shared" si="90"/>
        <v>657.69416666666666</v>
      </c>
      <c r="J332" s="39">
        <f t="shared" si="90"/>
        <v>0.46091666666666664</v>
      </c>
      <c r="K332" s="39">
        <f t="shared" si="90"/>
        <v>0.51083333333333336</v>
      </c>
      <c r="L332" s="39">
        <f t="shared" si="90"/>
        <v>64.031666666666666</v>
      </c>
      <c r="M332" s="39">
        <f t="shared" si="90"/>
        <v>0.10200000000000001</v>
      </c>
      <c r="N332" s="38">
        <f t="shared" si="90"/>
        <v>6.4483333333333333</v>
      </c>
      <c r="O332" s="38">
        <f t="shared" si="90"/>
        <v>422.10833333333335</v>
      </c>
      <c r="P332" s="38">
        <f t="shared" si="90"/>
        <v>559.43833333333339</v>
      </c>
      <c r="Q332" s="38">
        <f t="shared" si="90"/>
        <v>3.6751666666666667</v>
      </c>
      <c r="R332" s="39">
        <f t="shared" si="90"/>
        <v>8.236333333333333E-2</v>
      </c>
      <c r="S332" s="38">
        <f t="shared" si="90"/>
        <v>86.277499999999989</v>
      </c>
      <c r="T332" s="39">
        <f t="shared" si="90"/>
        <v>3.6168333333333336</v>
      </c>
      <c r="U332" s="38"/>
      <c r="V332" s="41"/>
      <c r="W332" s="41"/>
      <c r="X332" s="41"/>
    </row>
    <row r="333" spans="1:24" s="3" customFormat="1" ht="11.25" customHeight="1" x14ac:dyDescent="0.2">
      <c r="A333" s="231" t="s">
        <v>62</v>
      </c>
      <c r="B333" s="232"/>
      <c r="C333" s="232"/>
      <c r="D333" s="233"/>
      <c r="E333" s="115"/>
      <c r="F333" s="106">
        <f t="shared" ref="F333:T333" si="91">F332/F352</f>
        <v>0.38987962962962958</v>
      </c>
      <c r="G333" s="44">
        <f t="shared" si="91"/>
        <v>0.3409873188405797</v>
      </c>
      <c r="H333" s="44">
        <f t="shared" si="91"/>
        <v>0.15339425587467362</v>
      </c>
      <c r="I333" s="44">
        <f t="shared" si="91"/>
        <v>0.24179932598039217</v>
      </c>
      <c r="J333" s="44">
        <f t="shared" si="91"/>
        <v>0.32922619047619051</v>
      </c>
      <c r="K333" s="44">
        <f t="shared" si="91"/>
        <v>0.31927083333333334</v>
      </c>
      <c r="L333" s="44">
        <f t="shared" si="91"/>
        <v>0.91473809523809524</v>
      </c>
      <c r="M333" s="44">
        <f t="shared" si="91"/>
        <v>0.11333333333333334</v>
      </c>
      <c r="N333" s="44">
        <f t="shared" si="91"/>
        <v>0.53736111111111107</v>
      </c>
      <c r="O333" s="44">
        <f t="shared" si="91"/>
        <v>0.35175694444444444</v>
      </c>
      <c r="P333" s="44">
        <f t="shared" si="91"/>
        <v>0.46619861111111116</v>
      </c>
      <c r="Q333" s="44">
        <f t="shared" si="91"/>
        <v>0.26251190476190478</v>
      </c>
      <c r="R333" s="44">
        <f t="shared" si="91"/>
        <v>0.82363333333333322</v>
      </c>
      <c r="S333" s="44">
        <f t="shared" si="91"/>
        <v>0.28759166666666663</v>
      </c>
      <c r="T333" s="44">
        <f t="shared" si="91"/>
        <v>0.20093518518518519</v>
      </c>
      <c r="U333" s="48"/>
      <c r="V333" s="41"/>
      <c r="W333" s="41"/>
      <c r="X333" s="41"/>
    </row>
    <row r="334" spans="1:24" s="140" customFormat="1" ht="11.25" customHeight="1" x14ac:dyDescent="0.2">
      <c r="A334" s="158"/>
      <c r="B334" s="159"/>
      <c r="C334" s="159"/>
      <c r="D334" s="159"/>
      <c r="E334" s="170">
        <f>70-E332</f>
        <v>0</v>
      </c>
      <c r="F334" s="155"/>
      <c r="G334" s="168"/>
      <c r="H334" s="168"/>
      <c r="I334" s="168"/>
      <c r="J334" s="168"/>
      <c r="K334" s="168"/>
      <c r="L334" s="168"/>
      <c r="M334" s="168"/>
      <c r="N334" s="168"/>
      <c r="O334" s="168"/>
      <c r="P334" s="168"/>
      <c r="Q334" s="168"/>
      <c r="R334" s="168"/>
      <c r="S334" s="168"/>
      <c r="T334" s="169"/>
      <c r="U334" s="144"/>
      <c r="V334" s="142"/>
      <c r="W334" s="142"/>
      <c r="X334" s="142"/>
    </row>
    <row r="335" spans="1:24" s="3" customFormat="1" ht="11.25" customHeight="1" x14ac:dyDescent="0.2">
      <c r="A335" s="234" t="s">
        <v>28</v>
      </c>
      <c r="B335" s="235"/>
      <c r="C335" s="235"/>
      <c r="D335" s="235"/>
      <c r="E335" s="235"/>
      <c r="F335" s="235"/>
      <c r="G335" s="235"/>
      <c r="H335" s="235"/>
      <c r="I335" s="235"/>
      <c r="J335" s="235"/>
      <c r="K335" s="235"/>
      <c r="L335" s="235"/>
      <c r="M335" s="235"/>
      <c r="N335" s="235"/>
      <c r="O335" s="235"/>
      <c r="P335" s="235"/>
      <c r="Q335" s="235"/>
      <c r="R335" s="235"/>
      <c r="S335" s="235"/>
      <c r="T335" s="236"/>
      <c r="U335" s="11"/>
      <c r="V335" s="24"/>
      <c r="W335" s="24"/>
      <c r="X335" s="24"/>
    </row>
    <row r="336" spans="1:24" s="140" customFormat="1" ht="22.5" customHeight="1" x14ac:dyDescent="0.2">
      <c r="A336" s="156">
        <v>56</v>
      </c>
      <c r="B336" s="258" t="s">
        <v>112</v>
      </c>
      <c r="C336" s="258"/>
      <c r="D336" s="147">
        <v>100</v>
      </c>
      <c r="E336" s="148">
        <v>7.39</v>
      </c>
      <c r="F336" s="148">
        <f>0.9*D336/60</f>
        <v>1.5</v>
      </c>
      <c r="G336" s="146">
        <f>3.1*D336/60</f>
        <v>5.166666666666667</v>
      </c>
      <c r="H336" s="146">
        <f>5.6*D336/60</f>
        <v>9.3333333333333339</v>
      </c>
      <c r="I336" s="148">
        <f t="shared" ref="I336:I342" si="92">F336*4+G336*9+H336*4</f>
        <v>89.833333333333343</v>
      </c>
      <c r="J336" s="149">
        <f>0.1*D336/60</f>
        <v>0.16666666666666666</v>
      </c>
      <c r="K336" s="149">
        <f>0.1*D336/60</f>
        <v>0.16666666666666666</v>
      </c>
      <c r="L336" s="148">
        <f>12.3*D336/60</f>
        <v>20.5</v>
      </c>
      <c r="M336" s="149">
        <f>0.02*D336/60</f>
        <v>3.3333333333333333E-2</v>
      </c>
      <c r="N336" s="149">
        <f>0.5*D336/60</f>
        <v>0.83333333333333337</v>
      </c>
      <c r="O336" s="146">
        <f>59.9*D336/60</f>
        <v>99.833333333333329</v>
      </c>
      <c r="P336" s="146">
        <f>31.3*D336/60</f>
        <v>52.166666666666664</v>
      </c>
      <c r="Q336" s="152">
        <f>0.4228*D336/60</f>
        <v>0.70466666666666666</v>
      </c>
      <c r="R336" s="149">
        <f>0.003*D336/60</f>
        <v>5.0000000000000001E-3</v>
      </c>
      <c r="S336" s="146">
        <f>16.3*D336/60</f>
        <v>27.166666666666668</v>
      </c>
      <c r="T336" s="148">
        <f>0.7*D336/60</f>
        <v>1.1666666666666667</v>
      </c>
      <c r="U336" s="150"/>
      <c r="V336" s="151"/>
      <c r="W336" s="151"/>
      <c r="X336" s="151"/>
    </row>
    <row r="337" spans="1:24" s="140" customFormat="1" ht="22.5" customHeight="1" x14ac:dyDescent="0.2">
      <c r="A337" s="197">
        <v>102</v>
      </c>
      <c r="B337" s="223" t="s">
        <v>93</v>
      </c>
      <c r="C337" s="224"/>
      <c r="D337" s="145">
        <v>250</v>
      </c>
      <c r="E337" s="148">
        <v>10.220000000000001</v>
      </c>
      <c r="F337" s="148">
        <v>6.22</v>
      </c>
      <c r="G337" s="148">
        <v>3.99</v>
      </c>
      <c r="H337" s="148">
        <v>21.73</v>
      </c>
      <c r="I337" s="148">
        <f t="shared" si="92"/>
        <v>147.71</v>
      </c>
      <c r="J337" s="148">
        <v>0.27</v>
      </c>
      <c r="K337" s="148">
        <v>0.09</v>
      </c>
      <c r="L337" s="148">
        <v>9</v>
      </c>
      <c r="M337" s="149">
        <v>1E-3</v>
      </c>
      <c r="N337" s="148">
        <v>0.25700000000000001</v>
      </c>
      <c r="O337" s="148">
        <v>54.13</v>
      </c>
      <c r="P337" s="148">
        <v>183.2</v>
      </c>
      <c r="Q337" s="148">
        <v>1.157</v>
      </c>
      <c r="R337" s="149">
        <v>1.2999999999999999E-2</v>
      </c>
      <c r="S337" s="148">
        <v>49.63</v>
      </c>
      <c r="T337" s="148">
        <v>1.03</v>
      </c>
      <c r="U337" s="150"/>
      <c r="V337" s="151"/>
      <c r="W337" s="151"/>
      <c r="X337" s="151"/>
    </row>
    <row r="338" spans="1:24" s="140" customFormat="1" ht="23.25" customHeight="1" x14ac:dyDescent="0.2">
      <c r="A338" s="219">
        <v>266</v>
      </c>
      <c r="B338" s="223" t="s">
        <v>89</v>
      </c>
      <c r="C338" s="224"/>
      <c r="D338" s="147">
        <v>100</v>
      </c>
      <c r="E338" s="148">
        <v>44.81</v>
      </c>
      <c r="F338" s="148">
        <v>16.68</v>
      </c>
      <c r="G338" s="148">
        <v>23.27</v>
      </c>
      <c r="H338" s="148">
        <v>4.28</v>
      </c>
      <c r="I338" s="148">
        <v>293</v>
      </c>
      <c r="J338" s="148">
        <v>0.20300000000000001</v>
      </c>
      <c r="K338" s="148">
        <v>0.23</v>
      </c>
      <c r="L338" s="148">
        <v>0.48</v>
      </c>
      <c r="M338" s="148">
        <f>0.04*D338/80</f>
        <v>0.05</v>
      </c>
      <c r="N338" s="145">
        <v>6.8000000000000005E-2</v>
      </c>
      <c r="O338" s="146">
        <v>54.5</v>
      </c>
      <c r="P338" s="146">
        <v>200.14</v>
      </c>
      <c r="Q338" s="148">
        <v>2.56</v>
      </c>
      <c r="R338" s="149">
        <f>0.04*D338/80</f>
        <v>0.05</v>
      </c>
      <c r="S338" s="146">
        <v>27.5</v>
      </c>
      <c r="T338" s="148">
        <v>2.17</v>
      </c>
      <c r="U338" s="150"/>
      <c r="V338" s="151"/>
      <c r="W338" s="151"/>
      <c r="X338" s="151"/>
    </row>
    <row r="339" spans="1:24" s="3" customFormat="1" ht="12.75" customHeight="1" x14ac:dyDescent="0.2">
      <c r="A339" s="77">
        <v>171</v>
      </c>
      <c r="B339" s="223" t="s">
        <v>24</v>
      </c>
      <c r="C339" s="224"/>
      <c r="D339" s="70">
        <v>180</v>
      </c>
      <c r="E339" s="148">
        <v>13.8</v>
      </c>
      <c r="F339" s="72">
        <f>6.57*D339/150</f>
        <v>7.8840000000000012</v>
      </c>
      <c r="G339" s="72">
        <f>4.19*D339/150</f>
        <v>5.0280000000000005</v>
      </c>
      <c r="H339" s="72">
        <f>32.32*D339/150</f>
        <v>38.783999999999999</v>
      </c>
      <c r="I339" s="72">
        <f t="shared" si="92"/>
        <v>231.92400000000001</v>
      </c>
      <c r="J339" s="73">
        <f>0.06*D339/150</f>
        <v>7.1999999999999995E-2</v>
      </c>
      <c r="K339" s="73">
        <f>0.03*D339/150</f>
        <v>3.5999999999999997E-2</v>
      </c>
      <c r="L339" s="68">
        <v>0</v>
      </c>
      <c r="M339" s="73">
        <f>0.03*D339/150</f>
        <v>3.5999999999999997E-2</v>
      </c>
      <c r="N339" s="68">
        <f>2.55*D339/150</f>
        <v>3.0599999999999996</v>
      </c>
      <c r="O339" s="72">
        <f>18.12*D339/150</f>
        <v>21.744000000000003</v>
      </c>
      <c r="P339" s="72">
        <f>157.03*D339/150</f>
        <v>188.43600000000001</v>
      </c>
      <c r="Q339" s="73">
        <f>0.8874*D339/150</f>
        <v>1.06488</v>
      </c>
      <c r="R339" s="73">
        <f>0.00135*D339/150</f>
        <v>1.6200000000000001E-3</v>
      </c>
      <c r="S339" s="72">
        <f>104.45*D339/150</f>
        <v>125.34</v>
      </c>
      <c r="T339" s="72">
        <f>3.55*D339/150</f>
        <v>4.26</v>
      </c>
      <c r="U339" s="74"/>
      <c r="V339" s="75"/>
      <c r="W339" s="75"/>
      <c r="X339" s="75"/>
    </row>
    <row r="340" spans="1:24" x14ac:dyDescent="0.2">
      <c r="A340" s="189">
        <v>699</v>
      </c>
      <c r="B340" s="251" t="s">
        <v>111</v>
      </c>
      <c r="C340" s="252"/>
      <c r="D340" s="190">
        <v>200</v>
      </c>
      <c r="E340" s="191">
        <v>7.5</v>
      </c>
      <c r="F340" s="191">
        <v>0.1</v>
      </c>
      <c r="G340" s="192">
        <v>0</v>
      </c>
      <c r="H340" s="193">
        <v>15.7</v>
      </c>
      <c r="I340" s="191">
        <v>63.2</v>
      </c>
      <c r="J340" s="192">
        <v>1.7999999999999999E-2</v>
      </c>
      <c r="K340" s="192">
        <v>1.2E-2</v>
      </c>
      <c r="L340" s="193">
        <v>8</v>
      </c>
      <c r="M340" s="192">
        <v>0</v>
      </c>
      <c r="N340" s="191">
        <v>0.2</v>
      </c>
      <c r="O340" s="191">
        <v>10.8</v>
      </c>
      <c r="P340" s="191">
        <v>1.7</v>
      </c>
      <c r="Q340" s="191">
        <v>0</v>
      </c>
      <c r="R340" s="194">
        <v>0</v>
      </c>
      <c r="S340" s="191">
        <v>5.8</v>
      </c>
      <c r="T340" s="191">
        <v>1.6</v>
      </c>
      <c r="U340"/>
      <c r="V340"/>
      <c r="W340"/>
      <c r="X340"/>
    </row>
    <row r="341" spans="1:24" s="3" customFormat="1" ht="11.25" customHeight="1" x14ac:dyDescent="0.2">
      <c r="A341" s="78" t="s">
        <v>66</v>
      </c>
      <c r="B341" s="223" t="s">
        <v>46</v>
      </c>
      <c r="C341" s="224"/>
      <c r="D341" s="70">
        <v>50</v>
      </c>
      <c r="E341" s="148">
        <v>2.4300000000000002</v>
      </c>
      <c r="F341" s="72">
        <f>2.64*D341/40</f>
        <v>3.3</v>
      </c>
      <c r="G341" s="72">
        <f>0.48*D341/40</f>
        <v>0.6</v>
      </c>
      <c r="H341" s="72">
        <f>13.68*D341/40</f>
        <v>17.100000000000001</v>
      </c>
      <c r="I341" s="69">
        <f t="shared" si="92"/>
        <v>87</v>
      </c>
      <c r="J341" s="68">
        <f>0.08*D341/40</f>
        <v>0.1</v>
      </c>
      <c r="K341" s="72">
        <f>0.04*D341/40</f>
        <v>0.05</v>
      </c>
      <c r="L341" s="70">
        <v>0</v>
      </c>
      <c r="M341" s="70">
        <v>0</v>
      </c>
      <c r="N341" s="72">
        <f>2.4*D341/40</f>
        <v>3</v>
      </c>
      <c r="O341" s="72">
        <f>14*D341/40</f>
        <v>17.5</v>
      </c>
      <c r="P341" s="72">
        <f>63.2*D341/40</f>
        <v>79</v>
      </c>
      <c r="Q341" s="72">
        <f>1.2*D341/40</f>
        <v>1.5</v>
      </c>
      <c r="R341" s="73">
        <f>0.001*D341/40</f>
        <v>1.25E-3</v>
      </c>
      <c r="S341" s="72">
        <f>9.4*D341/40</f>
        <v>11.75</v>
      </c>
      <c r="T341" s="68">
        <f>0.78*D341/40</f>
        <v>0.97499999999999998</v>
      </c>
      <c r="U341" s="30"/>
      <c r="V341" s="31"/>
      <c r="W341" s="31"/>
      <c r="X341" s="31"/>
    </row>
    <row r="342" spans="1:24" s="3" customFormat="1" ht="11.25" customHeight="1" x14ac:dyDescent="0.2">
      <c r="A342" s="77" t="s">
        <v>66</v>
      </c>
      <c r="B342" s="223" t="s">
        <v>53</v>
      </c>
      <c r="C342" s="224"/>
      <c r="D342" s="70">
        <v>50</v>
      </c>
      <c r="E342" s="148">
        <v>3.85</v>
      </c>
      <c r="F342" s="72">
        <f>1.52*D342/30</f>
        <v>2.5333333333333332</v>
      </c>
      <c r="G342" s="73">
        <f>0.16*D342/30</f>
        <v>0.26666666666666666</v>
      </c>
      <c r="H342" s="73">
        <f>9.84*D342/30</f>
        <v>16.399999999999999</v>
      </c>
      <c r="I342" s="73">
        <f t="shared" si="92"/>
        <v>78.133333333333326</v>
      </c>
      <c r="J342" s="73">
        <f>0.02*D342/30</f>
        <v>3.3333333333333333E-2</v>
      </c>
      <c r="K342" s="73">
        <f>0.01*D342/30</f>
        <v>1.6666666666666666E-2</v>
      </c>
      <c r="L342" s="73">
        <f>0.44*D342/30</f>
        <v>0.73333333333333328</v>
      </c>
      <c r="M342" s="73">
        <v>0</v>
      </c>
      <c r="N342" s="73">
        <f>0.7*D342/30</f>
        <v>1.1666666666666667</v>
      </c>
      <c r="O342" s="73">
        <f>4*D342/30</f>
        <v>6.666666666666667</v>
      </c>
      <c r="P342" s="73">
        <f>13*D342/30</f>
        <v>21.666666666666668</v>
      </c>
      <c r="Q342" s="73">
        <f>0.008*D342/30</f>
        <v>1.3333333333333334E-2</v>
      </c>
      <c r="R342" s="73">
        <f>0.001*D342/30</f>
        <v>1.6666666666666668E-3</v>
      </c>
      <c r="S342" s="73">
        <v>0</v>
      </c>
      <c r="T342" s="73">
        <f>0.22*D342/30</f>
        <v>0.36666666666666664</v>
      </c>
      <c r="U342" s="74"/>
      <c r="V342" s="75"/>
      <c r="W342" s="75"/>
      <c r="X342" s="75"/>
    </row>
    <row r="343" spans="1:24" s="3" customFormat="1" ht="11.25" customHeight="1" x14ac:dyDescent="0.2">
      <c r="A343" s="61" t="s">
        <v>29</v>
      </c>
      <c r="B343" s="62"/>
      <c r="C343" s="62"/>
      <c r="D343" s="65">
        <f t="shared" ref="D343:I343" si="93">SUM(D336:D342)</f>
        <v>930</v>
      </c>
      <c r="E343" s="154">
        <f t="shared" si="93"/>
        <v>90</v>
      </c>
      <c r="F343" s="39">
        <f t="shared" si="93"/>
        <v>38.217333333333329</v>
      </c>
      <c r="G343" s="38">
        <f t="shared" si="93"/>
        <v>38.321333333333328</v>
      </c>
      <c r="H343" s="38">
        <f t="shared" si="93"/>
        <v>123.32733333333334</v>
      </c>
      <c r="I343" s="38">
        <f t="shared" si="93"/>
        <v>990.80066666666664</v>
      </c>
      <c r="J343" s="38">
        <f t="shared" ref="J343:T343" si="94">SUM(J336:J342)</f>
        <v>0.86299999999999988</v>
      </c>
      <c r="K343" s="39">
        <f t="shared" si="94"/>
        <v>0.6013333333333335</v>
      </c>
      <c r="L343" s="38">
        <f t="shared" si="94"/>
        <v>38.713333333333338</v>
      </c>
      <c r="M343" s="38">
        <f t="shared" si="94"/>
        <v>0.12033333333333335</v>
      </c>
      <c r="N343" s="43">
        <f t="shared" si="94"/>
        <v>8.5849999999999991</v>
      </c>
      <c r="O343" s="38">
        <f t="shared" si="94"/>
        <v>265.17400000000004</v>
      </c>
      <c r="P343" s="38">
        <f t="shared" si="94"/>
        <v>726.30933333333337</v>
      </c>
      <c r="Q343" s="38">
        <f t="shared" si="94"/>
        <v>6.999880000000001</v>
      </c>
      <c r="R343" s="40">
        <f t="shared" si="94"/>
        <v>7.2536666666666666E-2</v>
      </c>
      <c r="S343" s="38">
        <f t="shared" si="94"/>
        <v>247.18666666666667</v>
      </c>
      <c r="T343" s="39">
        <f t="shared" si="94"/>
        <v>11.568333333333333</v>
      </c>
      <c r="U343" s="38"/>
      <c r="V343" s="41"/>
      <c r="W343" s="41"/>
      <c r="X343" s="41"/>
    </row>
    <row r="344" spans="1:24" s="3" customFormat="1" ht="11.25" customHeight="1" x14ac:dyDescent="0.2">
      <c r="A344" s="231" t="s">
        <v>62</v>
      </c>
      <c r="B344" s="232"/>
      <c r="C344" s="232"/>
      <c r="D344" s="233"/>
      <c r="E344" s="116"/>
      <c r="F344" s="76">
        <f>F343/F352</f>
        <v>0.42463703703703698</v>
      </c>
      <c r="G344" s="44">
        <f t="shared" ref="G344:T344" si="95">G343/G352</f>
        <v>0.41653623188405792</v>
      </c>
      <c r="H344" s="44">
        <f t="shared" si="95"/>
        <v>0.3220034812880766</v>
      </c>
      <c r="I344" s="44">
        <f t="shared" si="95"/>
        <v>0.36426495098039213</v>
      </c>
      <c r="J344" s="44">
        <f t="shared" si="95"/>
        <v>0.61642857142857133</v>
      </c>
      <c r="K344" s="44">
        <f t="shared" si="95"/>
        <v>0.37583333333333341</v>
      </c>
      <c r="L344" s="44">
        <f t="shared" si="95"/>
        <v>0.55304761904761912</v>
      </c>
      <c r="M344" s="44">
        <f t="shared" si="95"/>
        <v>0.13370370370370371</v>
      </c>
      <c r="N344" s="44">
        <f t="shared" si="95"/>
        <v>0.71541666666666659</v>
      </c>
      <c r="O344" s="44">
        <f t="shared" si="95"/>
        <v>0.22097833333333336</v>
      </c>
      <c r="P344" s="44">
        <f t="shared" si="95"/>
        <v>0.60525777777777778</v>
      </c>
      <c r="Q344" s="44">
        <f t="shared" si="95"/>
        <v>0.49999142857142864</v>
      </c>
      <c r="R344" s="44">
        <f t="shared" si="95"/>
        <v>0.7253666666666666</v>
      </c>
      <c r="S344" s="44">
        <f t="shared" si="95"/>
        <v>0.82395555555555555</v>
      </c>
      <c r="T344" s="44">
        <f t="shared" si="95"/>
        <v>0.64268518518518514</v>
      </c>
      <c r="U344" s="48"/>
      <c r="V344" s="41"/>
      <c r="W344" s="41"/>
      <c r="X344" s="41"/>
    </row>
    <row r="345" spans="1:24" s="140" customFormat="1" ht="11.25" customHeight="1" x14ac:dyDescent="0.2">
      <c r="A345" s="158"/>
      <c r="B345" s="159"/>
      <c r="C345" s="159"/>
      <c r="D345" s="159"/>
      <c r="E345" s="170">
        <f>90-E343</f>
        <v>0</v>
      </c>
      <c r="F345" s="155"/>
      <c r="G345" s="168"/>
      <c r="H345" s="168"/>
      <c r="I345" s="168"/>
      <c r="J345" s="168"/>
      <c r="K345" s="168"/>
      <c r="L345" s="168"/>
      <c r="M345" s="168"/>
      <c r="N345" s="168"/>
      <c r="O345" s="168"/>
      <c r="P345" s="168"/>
      <c r="Q345" s="168"/>
      <c r="R345" s="168"/>
      <c r="S345" s="168"/>
      <c r="T345" s="169"/>
      <c r="U345" s="144"/>
      <c r="V345" s="142"/>
      <c r="W345" s="142"/>
      <c r="X345" s="142"/>
    </row>
    <row r="346" spans="1:24" s="3" customFormat="1" ht="11.25" customHeight="1" x14ac:dyDescent="0.2">
      <c r="A346" s="234" t="s">
        <v>30</v>
      </c>
      <c r="B346" s="235"/>
      <c r="C346" s="235"/>
      <c r="D346" s="235"/>
      <c r="E346" s="235"/>
      <c r="F346" s="235"/>
      <c r="G346" s="235"/>
      <c r="H346" s="235"/>
      <c r="I346" s="235"/>
      <c r="J346" s="235"/>
      <c r="K346" s="235"/>
      <c r="L346" s="235"/>
      <c r="M346" s="235"/>
      <c r="N346" s="235"/>
      <c r="O346" s="235"/>
      <c r="P346" s="235"/>
      <c r="Q346" s="235"/>
      <c r="R346" s="235"/>
      <c r="S346" s="235"/>
      <c r="T346" s="236"/>
      <c r="U346" s="11"/>
      <c r="V346" s="24"/>
      <c r="W346" s="24"/>
      <c r="X346" s="24"/>
    </row>
    <row r="347" spans="1:24" s="129" customFormat="1" ht="11.25" customHeight="1" x14ac:dyDescent="0.2">
      <c r="A347" s="214"/>
      <c r="B347" s="253"/>
      <c r="C347" s="253"/>
      <c r="D347" s="202"/>
      <c r="E347" s="130"/>
      <c r="F347" s="130"/>
      <c r="G347" s="130"/>
      <c r="H347" s="130"/>
      <c r="I347" s="130"/>
      <c r="J347" s="130"/>
      <c r="K347" s="130"/>
      <c r="L347" s="131"/>
      <c r="M347" s="131"/>
      <c r="N347" s="130"/>
      <c r="O347" s="130"/>
      <c r="P347" s="130"/>
      <c r="Q347" s="131"/>
      <c r="R347" s="131"/>
      <c r="S347" s="130"/>
      <c r="T347" s="130"/>
    </row>
    <row r="348" spans="1:24" s="129" customFormat="1" ht="11.25" customHeight="1" x14ac:dyDescent="0.2">
      <c r="A348" s="205"/>
      <c r="B348" s="225"/>
      <c r="C348" s="225"/>
      <c r="D348" s="206"/>
      <c r="E348" s="136"/>
      <c r="F348" s="128"/>
      <c r="G348" s="128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</row>
    <row r="349" spans="1:24" s="1" customFormat="1" ht="11.25" customHeight="1" x14ac:dyDescent="0.2">
      <c r="A349" s="61" t="s">
        <v>31</v>
      </c>
      <c r="B349" s="62"/>
      <c r="C349" s="62"/>
      <c r="D349" s="65">
        <f t="shared" ref="D349:I349" si="96">SUM(D347:D348)</f>
        <v>0</v>
      </c>
      <c r="E349" s="65">
        <f t="shared" si="96"/>
        <v>0</v>
      </c>
      <c r="F349" s="39">
        <f t="shared" si="96"/>
        <v>0</v>
      </c>
      <c r="G349" s="38">
        <f t="shared" si="96"/>
        <v>0</v>
      </c>
      <c r="H349" s="38">
        <f t="shared" si="96"/>
        <v>0</v>
      </c>
      <c r="I349" s="38">
        <f t="shared" si="96"/>
        <v>0</v>
      </c>
      <c r="J349" s="38">
        <f t="shared" ref="J349:T349" si="97">SUM(J347:J348)</f>
        <v>0</v>
      </c>
      <c r="K349" s="38">
        <f t="shared" si="97"/>
        <v>0</v>
      </c>
      <c r="L349" s="38">
        <f t="shared" si="97"/>
        <v>0</v>
      </c>
      <c r="M349" s="39">
        <f t="shared" si="97"/>
        <v>0</v>
      </c>
      <c r="N349" s="39">
        <f t="shared" si="97"/>
        <v>0</v>
      </c>
      <c r="O349" s="38">
        <f t="shared" si="97"/>
        <v>0</v>
      </c>
      <c r="P349" s="38">
        <f t="shared" si="97"/>
        <v>0</v>
      </c>
      <c r="Q349" s="38">
        <f t="shared" si="97"/>
        <v>0</v>
      </c>
      <c r="R349" s="40">
        <f t="shared" si="97"/>
        <v>0</v>
      </c>
      <c r="S349" s="38">
        <f t="shared" si="97"/>
        <v>0</v>
      </c>
      <c r="T349" s="39">
        <f t="shared" si="97"/>
        <v>0</v>
      </c>
      <c r="U349" s="38"/>
      <c r="V349" s="41"/>
      <c r="W349" s="41"/>
      <c r="X349" s="41"/>
    </row>
    <row r="350" spans="1:24" s="1" customFormat="1" ht="11.25" customHeight="1" x14ac:dyDescent="0.2">
      <c r="A350" s="231" t="s">
        <v>62</v>
      </c>
      <c r="B350" s="232"/>
      <c r="C350" s="232"/>
      <c r="D350" s="233"/>
      <c r="E350" s="116"/>
      <c r="F350" s="76">
        <f>F349/F352</f>
        <v>0</v>
      </c>
      <c r="G350" s="44">
        <f t="shared" ref="G350:T350" si="98">G349/G352</f>
        <v>0</v>
      </c>
      <c r="H350" s="44">
        <f t="shared" si="98"/>
        <v>0</v>
      </c>
      <c r="I350" s="44">
        <f t="shared" si="98"/>
        <v>0</v>
      </c>
      <c r="J350" s="44">
        <f t="shared" si="98"/>
        <v>0</v>
      </c>
      <c r="K350" s="44">
        <f t="shared" si="98"/>
        <v>0</v>
      </c>
      <c r="L350" s="44">
        <f t="shared" si="98"/>
        <v>0</v>
      </c>
      <c r="M350" s="44">
        <f t="shared" si="98"/>
        <v>0</v>
      </c>
      <c r="N350" s="44">
        <f t="shared" si="98"/>
        <v>0</v>
      </c>
      <c r="O350" s="44">
        <f t="shared" si="98"/>
        <v>0</v>
      </c>
      <c r="P350" s="44">
        <f t="shared" si="98"/>
        <v>0</v>
      </c>
      <c r="Q350" s="44">
        <f t="shared" si="98"/>
        <v>0</v>
      </c>
      <c r="R350" s="44">
        <f t="shared" si="98"/>
        <v>0</v>
      </c>
      <c r="S350" s="44">
        <f t="shared" si="98"/>
        <v>0</v>
      </c>
      <c r="T350" s="44">
        <f t="shared" si="98"/>
        <v>0</v>
      </c>
      <c r="U350" s="48"/>
      <c r="V350" s="41"/>
      <c r="W350" s="41"/>
      <c r="X350" s="41"/>
    </row>
    <row r="351" spans="1:24" s="1" customFormat="1" ht="11.25" customHeight="1" x14ac:dyDescent="0.2">
      <c r="A351" s="261" t="s">
        <v>61</v>
      </c>
      <c r="B351" s="262"/>
      <c r="C351" s="262"/>
      <c r="D351" s="263"/>
      <c r="E351" s="120"/>
      <c r="F351" s="39">
        <f t="shared" ref="F351:T351" si="99">SUM(F332,F343,F349)</f>
        <v>73.3065</v>
      </c>
      <c r="G351" s="38">
        <f t="shared" si="99"/>
        <v>69.692166666666665</v>
      </c>
      <c r="H351" s="38">
        <f t="shared" si="99"/>
        <v>182.07733333333334</v>
      </c>
      <c r="I351" s="38">
        <f t="shared" si="99"/>
        <v>1648.4948333333332</v>
      </c>
      <c r="J351" s="39">
        <f t="shared" si="99"/>
        <v>1.3239166666666664</v>
      </c>
      <c r="K351" s="39">
        <f t="shared" si="99"/>
        <v>1.112166666666667</v>
      </c>
      <c r="L351" s="38">
        <f t="shared" si="99"/>
        <v>102.745</v>
      </c>
      <c r="M351" s="39">
        <f t="shared" si="99"/>
        <v>0.22233333333333336</v>
      </c>
      <c r="N351" s="39">
        <f t="shared" si="99"/>
        <v>15.033333333333331</v>
      </c>
      <c r="O351" s="38">
        <f t="shared" si="99"/>
        <v>687.28233333333333</v>
      </c>
      <c r="P351" s="38">
        <f t="shared" si="99"/>
        <v>1285.7476666666666</v>
      </c>
      <c r="Q351" s="39">
        <f t="shared" si="99"/>
        <v>10.675046666666667</v>
      </c>
      <c r="R351" s="40">
        <f t="shared" si="99"/>
        <v>0.15489999999999998</v>
      </c>
      <c r="S351" s="39">
        <f t="shared" si="99"/>
        <v>333.46416666666664</v>
      </c>
      <c r="T351" s="39">
        <f t="shared" si="99"/>
        <v>15.185166666666667</v>
      </c>
      <c r="U351" s="42"/>
      <c r="V351" s="41"/>
      <c r="W351" s="41"/>
      <c r="X351" s="41"/>
    </row>
    <row r="352" spans="1:24" s="1" customFormat="1" ht="11.25" customHeight="1" x14ac:dyDescent="0.2">
      <c r="A352" s="261" t="s">
        <v>63</v>
      </c>
      <c r="B352" s="262"/>
      <c r="C352" s="262"/>
      <c r="D352" s="263"/>
      <c r="E352" s="120"/>
      <c r="F352" s="72">
        <v>90</v>
      </c>
      <c r="G352" s="69">
        <v>92</v>
      </c>
      <c r="H352" s="69">
        <v>383</v>
      </c>
      <c r="I352" s="69">
        <v>2720</v>
      </c>
      <c r="J352" s="72">
        <v>1.4</v>
      </c>
      <c r="K352" s="72">
        <v>1.6</v>
      </c>
      <c r="L352" s="70">
        <v>70</v>
      </c>
      <c r="M352" s="72">
        <v>0.9</v>
      </c>
      <c r="N352" s="70">
        <v>12</v>
      </c>
      <c r="O352" s="70">
        <v>1200</v>
      </c>
      <c r="P352" s="70">
        <v>1200</v>
      </c>
      <c r="Q352" s="70">
        <v>14</v>
      </c>
      <c r="R352" s="69">
        <v>0.1</v>
      </c>
      <c r="S352" s="70">
        <v>300</v>
      </c>
      <c r="T352" s="72">
        <v>18</v>
      </c>
      <c r="U352" s="74"/>
      <c r="V352" s="75"/>
      <c r="W352" s="75"/>
      <c r="X352" s="75"/>
    </row>
    <row r="353" spans="1:24" s="1" customFormat="1" ht="11.25" customHeight="1" x14ac:dyDescent="0.2">
      <c r="A353" s="231" t="s">
        <v>62</v>
      </c>
      <c r="B353" s="232"/>
      <c r="C353" s="232"/>
      <c r="D353" s="233"/>
      <c r="E353" s="116"/>
      <c r="F353" s="76">
        <f t="shared" ref="F353:T353" si="100">F351/F352</f>
        <v>0.81451666666666667</v>
      </c>
      <c r="G353" s="44">
        <f t="shared" si="100"/>
        <v>0.75752355072463762</v>
      </c>
      <c r="H353" s="44">
        <f t="shared" si="100"/>
        <v>0.47539773716275024</v>
      </c>
      <c r="I353" s="44">
        <f t="shared" si="100"/>
        <v>0.60606427696078424</v>
      </c>
      <c r="J353" s="44">
        <f t="shared" si="100"/>
        <v>0.94565476190476183</v>
      </c>
      <c r="K353" s="44">
        <f t="shared" si="100"/>
        <v>0.69510416666666686</v>
      </c>
      <c r="L353" s="44">
        <f t="shared" si="100"/>
        <v>1.4677857142857142</v>
      </c>
      <c r="M353" s="45">
        <f t="shared" si="100"/>
        <v>0.24703703703703705</v>
      </c>
      <c r="N353" s="44">
        <f t="shared" si="100"/>
        <v>1.2527777777777775</v>
      </c>
      <c r="O353" s="44">
        <f t="shared" si="100"/>
        <v>0.57273527777777777</v>
      </c>
      <c r="P353" s="44">
        <f t="shared" si="100"/>
        <v>1.0714563888888888</v>
      </c>
      <c r="Q353" s="44">
        <f t="shared" si="100"/>
        <v>0.76250333333333331</v>
      </c>
      <c r="R353" s="45">
        <f t="shared" si="100"/>
        <v>1.5489999999999997</v>
      </c>
      <c r="S353" s="44">
        <f t="shared" si="100"/>
        <v>1.1115472222222222</v>
      </c>
      <c r="T353" s="45">
        <f t="shared" si="100"/>
        <v>0.84362037037037041</v>
      </c>
      <c r="U353" s="46"/>
      <c r="V353" s="47"/>
      <c r="W353" s="47"/>
      <c r="X353" s="47"/>
    </row>
    <row r="354" spans="1:24" s="1" customFormat="1" ht="11.25" customHeight="1" x14ac:dyDescent="0.2">
      <c r="A354" s="54"/>
      <c r="B354" s="54"/>
      <c r="C354" s="110"/>
      <c r="D354" s="110"/>
      <c r="E354" s="117"/>
      <c r="F354" s="102"/>
      <c r="G354" s="71"/>
      <c r="H354" s="2"/>
      <c r="I354" s="2"/>
      <c r="J354" s="71"/>
      <c r="K354" s="71"/>
      <c r="L354" s="71"/>
      <c r="M354" s="265" t="s">
        <v>65</v>
      </c>
      <c r="N354" s="265"/>
      <c r="O354" s="265"/>
      <c r="P354" s="265"/>
      <c r="Q354" s="265"/>
      <c r="R354" s="265"/>
      <c r="S354" s="265"/>
      <c r="T354" s="265"/>
      <c r="U354" s="12"/>
      <c r="V354" s="19"/>
      <c r="W354" s="19"/>
      <c r="X354" s="19"/>
    </row>
    <row r="355" spans="1:24" s="1" customFormat="1" ht="11.25" customHeight="1" x14ac:dyDescent="0.2">
      <c r="A355" s="54"/>
      <c r="B355" s="54"/>
      <c r="C355" s="110"/>
      <c r="D355" s="110"/>
      <c r="E355" s="117"/>
      <c r="F355" s="102"/>
      <c r="G355" s="71"/>
      <c r="H355" s="2"/>
      <c r="I355" s="2"/>
      <c r="J355" s="71"/>
      <c r="K355" s="71"/>
      <c r="L355" s="71"/>
      <c r="M355" s="111"/>
      <c r="N355" s="111"/>
      <c r="O355" s="111"/>
      <c r="P355" s="111"/>
      <c r="Q355" s="111"/>
      <c r="R355" s="111"/>
      <c r="S355" s="111"/>
      <c r="T355" s="111"/>
      <c r="U355" s="12"/>
      <c r="V355" s="19"/>
      <c r="W355" s="19"/>
      <c r="X355" s="19"/>
    </row>
    <row r="356" spans="1:24" ht="11.25" customHeight="1" x14ac:dyDescent="0.2">
      <c r="A356" s="54"/>
      <c r="B356" s="54"/>
      <c r="C356" s="54"/>
      <c r="D356" s="71"/>
      <c r="E356" s="71"/>
      <c r="F356" s="34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14"/>
      <c r="V356" s="20"/>
      <c r="W356" s="20"/>
      <c r="X356" s="20"/>
    </row>
    <row r="357" spans="1:24" ht="29.25" customHeight="1" x14ac:dyDescent="0.2">
      <c r="A357" s="291" t="s">
        <v>67</v>
      </c>
      <c r="B357" s="291"/>
      <c r="C357" s="291"/>
      <c r="D357" s="291"/>
      <c r="E357" s="291"/>
      <c r="F357" s="291"/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291"/>
      <c r="S357" s="291"/>
      <c r="T357" s="291"/>
      <c r="U357" s="14"/>
      <c r="V357" s="20"/>
      <c r="W357" s="20"/>
      <c r="X357" s="20"/>
    </row>
    <row r="358" spans="1:24" ht="29.25" customHeight="1" x14ac:dyDescent="0.2">
      <c r="A358" s="55"/>
      <c r="B358" s="55"/>
      <c r="C358" s="55"/>
      <c r="D358" s="4"/>
      <c r="E358" s="4"/>
      <c r="F358" s="103"/>
      <c r="G358" s="4"/>
      <c r="H358" s="6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17"/>
      <c r="V358" s="20"/>
      <c r="W358" s="20"/>
      <c r="X358" s="20"/>
    </row>
    <row r="359" spans="1:24" s="95" customFormat="1" ht="13.5" customHeight="1" x14ac:dyDescent="0.2">
      <c r="A359" s="96"/>
      <c r="B359" s="96"/>
      <c r="C359" s="96"/>
      <c r="D359" s="96"/>
      <c r="E359" s="96"/>
      <c r="F359" s="104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7"/>
      <c r="W359" s="94"/>
      <c r="X359" s="94"/>
    </row>
  </sheetData>
  <autoFilter ref="B1:B359"/>
  <mergeCells count="402">
    <mergeCell ref="B17:C17"/>
    <mergeCell ref="B196:C196"/>
    <mergeCell ref="B56:C56"/>
    <mergeCell ref="B55:C55"/>
    <mergeCell ref="B61:C61"/>
    <mergeCell ref="B190:C190"/>
    <mergeCell ref="B165:C165"/>
    <mergeCell ref="A65:T65"/>
    <mergeCell ref="L147:M147"/>
    <mergeCell ref="I148:I149"/>
    <mergeCell ref="A357:T357"/>
    <mergeCell ref="B127:C127"/>
    <mergeCell ref="B83:C83"/>
    <mergeCell ref="B295:C295"/>
    <mergeCell ref="B84:C84"/>
    <mergeCell ref="B90:C90"/>
    <mergeCell ref="B204:C204"/>
    <mergeCell ref="B93:C93"/>
    <mergeCell ref="B116:C116"/>
    <mergeCell ref="B232:C232"/>
    <mergeCell ref="O288:T288"/>
    <mergeCell ref="M283:T283"/>
    <mergeCell ref="B152:C152"/>
    <mergeCell ref="B202:C202"/>
    <mergeCell ref="B210:C210"/>
    <mergeCell ref="B277:C277"/>
    <mergeCell ref="B186:C186"/>
    <mergeCell ref="B271:C271"/>
    <mergeCell ref="B238:C238"/>
    <mergeCell ref="B239:C239"/>
    <mergeCell ref="L287:M287"/>
    <mergeCell ref="L42:M42"/>
    <mergeCell ref="A282:D282"/>
    <mergeCell ref="B260:C260"/>
    <mergeCell ref="B276:C276"/>
    <mergeCell ref="A217:T217"/>
    <mergeCell ref="I43:I44"/>
    <mergeCell ref="A87:D87"/>
    <mergeCell ref="A124:T124"/>
    <mergeCell ref="B164:C164"/>
    <mergeCell ref="B258:C258"/>
    <mergeCell ref="A40:T40"/>
    <mergeCell ref="A43:A44"/>
    <mergeCell ref="B48:C48"/>
    <mergeCell ref="B67:C67"/>
    <mergeCell ref="B57:C57"/>
    <mergeCell ref="B49:C49"/>
    <mergeCell ref="B189:C189"/>
    <mergeCell ref="A229:D229"/>
    <mergeCell ref="A213:D213"/>
    <mergeCell ref="L5:M5"/>
    <mergeCell ref="B201:C201"/>
    <mergeCell ref="A280:D280"/>
    <mergeCell ref="B265:C265"/>
    <mergeCell ref="B270:C270"/>
    <mergeCell ref="A249:D249"/>
    <mergeCell ref="B233:C233"/>
    <mergeCell ref="D253:F253"/>
    <mergeCell ref="B54:C54"/>
    <mergeCell ref="B237:C237"/>
    <mergeCell ref="J288:N288"/>
    <mergeCell ref="X1:X5"/>
    <mergeCell ref="J6:N6"/>
    <mergeCell ref="M1:T1"/>
    <mergeCell ref="A2:T2"/>
    <mergeCell ref="G4:I4"/>
    <mergeCell ref="B6:C7"/>
    <mergeCell ref="U1:U5"/>
    <mergeCell ref="B58:C58"/>
    <mergeCell ref="L4:M4"/>
    <mergeCell ref="D5:F5"/>
    <mergeCell ref="A142:D142"/>
    <mergeCell ref="B137:C137"/>
    <mergeCell ref="A352:D352"/>
    <mergeCell ref="A351:D351"/>
    <mergeCell ref="A317:D317"/>
    <mergeCell ref="B261:C261"/>
    <mergeCell ref="D288:D289"/>
    <mergeCell ref="B269:C269"/>
    <mergeCell ref="A285:T285"/>
    <mergeCell ref="B296:C296"/>
    <mergeCell ref="G146:I146"/>
    <mergeCell ref="F148:H148"/>
    <mergeCell ref="V1:V5"/>
    <mergeCell ref="A99:D99"/>
    <mergeCell ref="B119:C119"/>
    <mergeCell ref="B125:C125"/>
    <mergeCell ref="B45:C45"/>
    <mergeCell ref="A145:T145"/>
    <mergeCell ref="D147:F147"/>
    <mergeCell ref="B129:C129"/>
    <mergeCell ref="A141:D141"/>
    <mergeCell ref="B130:C130"/>
    <mergeCell ref="B136:C136"/>
    <mergeCell ref="M143:T143"/>
    <mergeCell ref="L146:M146"/>
    <mergeCell ref="A135:T135"/>
    <mergeCell ref="A105:D105"/>
    <mergeCell ref="A106:D106"/>
    <mergeCell ref="A107:D107"/>
    <mergeCell ref="A122:D122"/>
    <mergeCell ref="A133:D133"/>
    <mergeCell ref="B120:C120"/>
    <mergeCell ref="B131:C131"/>
    <mergeCell ref="D111:F111"/>
    <mergeCell ref="B117:C117"/>
    <mergeCell ref="B126:C126"/>
    <mergeCell ref="B43:C44"/>
    <mergeCell ref="M73:T73"/>
    <mergeCell ref="A75:T75"/>
    <mergeCell ref="A63:D63"/>
    <mergeCell ref="B60:C60"/>
    <mergeCell ref="A69:D69"/>
    <mergeCell ref="O43:T43"/>
    <mergeCell ref="A72:D72"/>
    <mergeCell ref="D43:D44"/>
    <mergeCell ref="B59:C59"/>
    <mergeCell ref="M39:T39"/>
    <mergeCell ref="G41:I41"/>
    <mergeCell ref="A53:T53"/>
    <mergeCell ref="B50:C50"/>
    <mergeCell ref="A52:D52"/>
    <mergeCell ref="B47:C47"/>
    <mergeCell ref="J43:N43"/>
    <mergeCell ref="F43:H43"/>
    <mergeCell ref="A46:T46"/>
    <mergeCell ref="D42:F42"/>
    <mergeCell ref="D6:D7"/>
    <mergeCell ref="B13:C13"/>
    <mergeCell ref="A16:D16"/>
    <mergeCell ref="B11:C11"/>
    <mergeCell ref="L41:M41"/>
    <mergeCell ref="N42:T42"/>
    <mergeCell ref="B20:C20"/>
    <mergeCell ref="A19:T19"/>
    <mergeCell ref="B25:C25"/>
    <mergeCell ref="B27:C27"/>
    <mergeCell ref="A31:T31"/>
    <mergeCell ref="B26:C26"/>
    <mergeCell ref="A29:D29"/>
    <mergeCell ref="N5:T5"/>
    <mergeCell ref="O6:T6"/>
    <mergeCell ref="A9:T9"/>
    <mergeCell ref="F6:H6"/>
    <mergeCell ref="I6:I7"/>
    <mergeCell ref="B8:C8"/>
    <mergeCell ref="A6:A7"/>
    <mergeCell ref="D78:D79"/>
    <mergeCell ref="B66:C66"/>
    <mergeCell ref="B14:C14"/>
    <mergeCell ref="B23:C23"/>
    <mergeCell ref="A35:D35"/>
    <mergeCell ref="A37:D37"/>
    <mergeCell ref="B22:C22"/>
    <mergeCell ref="B32:C32"/>
    <mergeCell ref="B33:C33"/>
    <mergeCell ref="B24:C24"/>
    <mergeCell ref="B82:C82"/>
    <mergeCell ref="G76:I76"/>
    <mergeCell ref="L76:M76"/>
    <mergeCell ref="L77:M77"/>
    <mergeCell ref="A89:T89"/>
    <mergeCell ref="B10:C10"/>
    <mergeCell ref="B12:C12"/>
    <mergeCell ref="A38:D38"/>
    <mergeCell ref="A36:D36"/>
    <mergeCell ref="J78:N78"/>
    <mergeCell ref="B97:C97"/>
    <mergeCell ref="A109:T109"/>
    <mergeCell ref="A101:T101"/>
    <mergeCell ref="B91:C91"/>
    <mergeCell ref="N77:T77"/>
    <mergeCell ref="A78:A79"/>
    <mergeCell ref="O78:T78"/>
    <mergeCell ref="B78:C79"/>
    <mergeCell ref="B102:C102"/>
    <mergeCell ref="A81:T81"/>
    <mergeCell ref="G110:I110"/>
    <mergeCell ref="L110:M110"/>
    <mergeCell ref="F78:H78"/>
    <mergeCell ref="I78:I79"/>
    <mergeCell ref="B92:C92"/>
    <mergeCell ref="B96:C96"/>
    <mergeCell ref="B80:C80"/>
    <mergeCell ref="B103:C103"/>
    <mergeCell ref="B85:C85"/>
    <mergeCell ref="B94:C94"/>
    <mergeCell ref="L111:M111"/>
    <mergeCell ref="N111:T111"/>
    <mergeCell ref="B114:C114"/>
    <mergeCell ref="A115:T115"/>
    <mergeCell ref="I112:I113"/>
    <mergeCell ref="O112:T112"/>
    <mergeCell ref="F112:H112"/>
    <mergeCell ref="J112:N112"/>
    <mergeCell ref="B128:C128"/>
    <mergeCell ref="A159:D159"/>
    <mergeCell ref="A161:T161"/>
    <mergeCell ref="J148:N148"/>
    <mergeCell ref="A140:D140"/>
    <mergeCell ref="A139:D139"/>
    <mergeCell ref="N147:T147"/>
    <mergeCell ref="B154:C154"/>
    <mergeCell ref="B155:C155"/>
    <mergeCell ref="B148:C149"/>
    <mergeCell ref="D148:D149"/>
    <mergeCell ref="A148:A149"/>
    <mergeCell ref="B150:C150"/>
    <mergeCell ref="A151:T151"/>
    <mergeCell ref="B153:C153"/>
    <mergeCell ref="O148:T148"/>
    <mergeCell ref="B163:C163"/>
    <mergeCell ref="B156:C156"/>
    <mergeCell ref="B168:C168"/>
    <mergeCell ref="A172:T172"/>
    <mergeCell ref="B173:C173"/>
    <mergeCell ref="B167:C167"/>
    <mergeCell ref="B162:C162"/>
    <mergeCell ref="B157:C157"/>
    <mergeCell ref="L182:M182"/>
    <mergeCell ref="L183:M183"/>
    <mergeCell ref="N183:T183"/>
    <mergeCell ref="A184:A185"/>
    <mergeCell ref="B184:C185"/>
    <mergeCell ref="D184:D185"/>
    <mergeCell ref="I184:I185"/>
    <mergeCell ref="O184:T184"/>
    <mergeCell ref="D183:F183"/>
    <mergeCell ref="J184:N184"/>
    <mergeCell ref="M216:T216"/>
    <mergeCell ref="B203:C203"/>
    <mergeCell ref="A208:T208"/>
    <mergeCell ref="A214:D214"/>
    <mergeCell ref="A215:D215"/>
    <mergeCell ref="B198:C198"/>
    <mergeCell ref="B199:C199"/>
    <mergeCell ref="B209:C209"/>
    <mergeCell ref="A206:D206"/>
    <mergeCell ref="B188:C188"/>
    <mergeCell ref="N218:Q218"/>
    <mergeCell ref="D220:D221"/>
    <mergeCell ref="F220:H220"/>
    <mergeCell ref="I220:I221"/>
    <mergeCell ref="J220:N220"/>
    <mergeCell ref="G218:I218"/>
    <mergeCell ref="L218:M218"/>
    <mergeCell ref="D219:F219"/>
    <mergeCell ref="L219:M219"/>
    <mergeCell ref="J254:N254"/>
    <mergeCell ref="N219:T219"/>
    <mergeCell ref="B234:C234"/>
    <mergeCell ref="A251:T251"/>
    <mergeCell ref="N252:Q252"/>
    <mergeCell ref="O254:T254"/>
    <mergeCell ref="B244:C244"/>
    <mergeCell ref="A247:D247"/>
    <mergeCell ref="A248:D248"/>
    <mergeCell ref="B227:C227"/>
    <mergeCell ref="I254:I255"/>
    <mergeCell ref="B259:C259"/>
    <mergeCell ref="A254:A255"/>
    <mergeCell ref="B254:C255"/>
    <mergeCell ref="D254:D255"/>
    <mergeCell ref="B288:C289"/>
    <mergeCell ref="I288:I289"/>
    <mergeCell ref="A281:D281"/>
    <mergeCell ref="A279:D279"/>
    <mergeCell ref="D287:F287"/>
    <mergeCell ref="A298:D298"/>
    <mergeCell ref="B256:C256"/>
    <mergeCell ref="A257:T257"/>
    <mergeCell ref="F254:H254"/>
    <mergeCell ref="A264:T264"/>
    <mergeCell ref="A300:T300"/>
    <mergeCell ref="B293:C293"/>
    <mergeCell ref="G286:I286"/>
    <mergeCell ref="L286:M286"/>
    <mergeCell ref="B266:C266"/>
    <mergeCell ref="A315:D315"/>
    <mergeCell ref="A263:D263"/>
    <mergeCell ref="N287:T287"/>
    <mergeCell ref="B292:C292"/>
    <mergeCell ref="B290:C290"/>
    <mergeCell ref="A291:T291"/>
    <mergeCell ref="B267:C267"/>
    <mergeCell ref="F288:H288"/>
    <mergeCell ref="B294:C294"/>
    <mergeCell ref="A288:A289"/>
    <mergeCell ref="B268:C268"/>
    <mergeCell ref="A350:D350"/>
    <mergeCell ref="M354:T354"/>
    <mergeCell ref="B341:C341"/>
    <mergeCell ref="B330:C330"/>
    <mergeCell ref="A335:T335"/>
    <mergeCell ref="B331:C331"/>
    <mergeCell ref="B342:C342"/>
    <mergeCell ref="A346:T346"/>
    <mergeCell ref="B340:C340"/>
    <mergeCell ref="A353:D353"/>
    <mergeCell ref="B347:C347"/>
    <mergeCell ref="B348:C348"/>
    <mergeCell ref="A344:D344"/>
    <mergeCell ref="B324:C324"/>
    <mergeCell ref="B326:C326"/>
    <mergeCell ref="B339:C339"/>
    <mergeCell ref="A325:T325"/>
    <mergeCell ref="B337:C337"/>
    <mergeCell ref="A333:D333"/>
    <mergeCell ref="B328:C328"/>
    <mergeCell ref="B336:C336"/>
    <mergeCell ref="F322:H322"/>
    <mergeCell ref="I322:I323"/>
    <mergeCell ref="B329:C329"/>
    <mergeCell ref="B338:C338"/>
    <mergeCell ref="D322:D323"/>
    <mergeCell ref="L321:M321"/>
    <mergeCell ref="N320:Q320"/>
    <mergeCell ref="A319:T319"/>
    <mergeCell ref="N321:T321"/>
    <mergeCell ref="B327:C327"/>
    <mergeCell ref="D321:F321"/>
    <mergeCell ref="O322:T322"/>
    <mergeCell ref="A309:D309"/>
    <mergeCell ref="B303:C303"/>
    <mergeCell ref="B304:C304"/>
    <mergeCell ref="A318:D318"/>
    <mergeCell ref="A322:A323"/>
    <mergeCell ref="J322:N322"/>
    <mergeCell ref="A311:T311"/>
    <mergeCell ref="A316:D316"/>
    <mergeCell ref="B322:C323"/>
    <mergeCell ref="L320:M320"/>
    <mergeCell ref="N182:Q182"/>
    <mergeCell ref="G182:I182"/>
    <mergeCell ref="B301:C301"/>
    <mergeCell ref="N286:Q286"/>
    <mergeCell ref="G320:I320"/>
    <mergeCell ref="B312:C312"/>
    <mergeCell ref="B305:C305"/>
    <mergeCell ref="B306:C306"/>
    <mergeCell ref="B307:C307"/>
    <mergeCell ref="L253:M253"/>
    <mergeCell ref="A71:D71"/>
    <mergeCell ref="A181:T181"/>
    <mergeCell ref="B174:C174"/>
    <mergeCell ref="M180:T180"/>
    <mergeCell ref="A170:D170"/>
    <mergeCell ref="A177:D177"/>
    <mergeCell ref="A178:D178"/>
    <mergeCell ref="A179:D179"/>
    <mergeCell ref="A176:D176"/>
    <mergeCell ref="B166:C166"/>
    <mergeCell ref="N4:Q4"/>
    <mergeCell ref="N41:Q41"/>
    <mergeCell ref="N76:Q76"/>
    <mergeCell ref="N110:Q110"/>
    <mergeCell ref="N146:Q146"/>
    <mergeCell ref="A108:D108"/>
    <mergeCell ref="B21:C21"/>
    <mergeCell ref="B95:C95"/>
    <mergeCell ref="D77:F77"/>
    <mergeCell ref="A70:D70"/>
    <mergeCell ref="V118:V120"/>
    <mergeCell ref="B200:C200"/>
    <mergeCell ref="X118:X120"/>
    <mergeCell ref="B118:C118"/>
    <mergeCell ref="A112:A113"/>
    <mergeCell ref="B112:C113"/>
    <mergeCell ref="D112:D113"/>
    <mergeCell ref="B191:C191"/>
    <mergeCell ref="A187:T187"/>
    <mergeCell ref="W118:W120"/>
    <mergeCell ref="B220:C221"/>
    <mergeCell ref="L252:M252"/>
    <mergeCell ref="F184:H184"/>
    <mergeCell ref="B236:C236"/>
    <mergeCell ref="B226:C226"/>
    <mergeCell ref="B224:C224"/>
    <mergeCell ref="A223:T223"/>
    <mergeCell ref="B225:C225"/>
    <mergeCell ref="B222:C222"/>
    <mergeCell ref="O220:T220"/>
    <mergeCell ref="B192:C192"/>
    <mergeCell ref="A194:D194"/>
    <mergeCell ref="A197:T197"/>
    <mergeCell ref="A212:D212"/>
    <mergeCell ref="A241:D241"/>
    <mergeCell ref="N253:T253"/>
    <mergeCell ref="G252:I252"/>
    <mergeCell ref="B235:C235"/>
    <mergeCell ref="A231:T231"/>
    <mergeCell ref="A220:A221"/>
    <mergeCell ref="V312:V314"/>
    <mergeCell ref="W312:W314"/>
    <mergeCell ref="B302:C302"/>
    <mergeCell ref="X312:X314"/>
    <mergeCell ref="B313:C313"/>
    <mergeCell ref="A243:T243"/>
    <mergeCell ref="B245:C245"/>
    <mergeCell ref="A250:D250"/>
    <mergeCell ref="A273:D273"/>
    <mergeCell ref="A275:T275"/>
  </mergeCells>
  <pageMargins left="0.7" right="0.7" top="0.75" bottom="0.75" header="0.3" footer="0.3"/>
  <pageSetup paperSize="9" scale="79" orientation="landscape" r:id="rId1"/>
  <rowBreaks count="10" manualBreakCount="10">
    <brk id="38" max="19" man="1"/>
    <brk id="72" max="19" man="1"/>
    <brk id="108" max="19" man="1"/>
    <brk id="142" max="16383" man="1"/>
    <brk id="179" max="19" man="1"/>
    <brk id="215" max="19" man="1"/>
    <brk id="250" max="19" man="1"/>
    <brk id="282" max="19" man="1"/>
    <brk id="318" max="19" man="1"/>
    <brk id="35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zav_karam_nijn</dc:creator>
  <cp:lastModifiedBy>Admin</cp:lastModifiedBy>
  <cp:revision>1</cp:revision>
  <cp:lastPrinted>2023-08-29T07:29:23Z</cp:lastPrinted>
  <dcterms:created xsi:type="dcterms:W3CDTF">2017-06-07T09:01:22Z</dcterms:created>
  <dcterms:modified xsi:type="dcterms:W3CDTF">2023-11-30T12:29:17Z</dcterms:modified>
</cp:coreProperties>
</file>